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LICITAÇÕES CONSTRUMAIS\IFAM GINÁSIO TABATINGA\PROPOSTA DE PREÇOS\"/>
    </mc:Choice>
  </mc:AlternateContent>
  <bookViews>
    <workbookView xWindow="-15" yWindow="-15" windowWidth="11520" windowHeight="9840"/>
  </bookViews>
  <sheets>
    <sheet name="Cronograma Físico-Financeiro" sheetId="40" r:id="rId1"/>
    <sheet name="PLANILHA ORÇAMENTARIA" sheetId="39" r:id="rId2"/>
    <sheet name="COMPOSIÇÕES" sheetId="32" r:id="rId3"/>
    <sheet name="Insumos" sheetId="37" r:id="rId4"/>
    <sheet name="M.CALCULO" sheetId="17" r:id="rId5"/>
    <sheet name="FUNDAÇAO" sheetId="34" r:id="rId6"/>
    <sheet name="MOV. TERRA" sheetId="43" r:id="rId7"/>
    <sheet name="ALVENARIA" sheetId="22" r:id="rId8"/>
    <sheet name="PISO" sheetId="23" r:id="rId9"/>
    <sheet name="FORRO" sheetId="24" r:id="rId10"/>
    <sheet name="ESTRUTURA" sheetId="26" r:id="rId11"/>
    <sheet name="ESCAVAÇÃO" sheetId="27" r:id="rId12"/>
    <sheet name="TRANSPORTE" sheetId="42" r:id="rId13"/>
    <sheet name="PROF. TERCEIRIZADOS" sheetId="38" r:id="rId14"/>
    <sheet name="BDI DIFERENCIADO" sheetId="35" r:id="rId15"/>
  </sheets>
  <externalReferences>
    <externalReference r:id="rId16"/>
    <externalReference r:id="rId17"/>
  </externalReferences>
  <definedNames>
    <definedName name="_xlnm._FilterDatabase" localSheetId="2" hidden="1">COMPOSIÇÕES!$A$9:$K$3823</definedName>
    <definedName name="_xlnm.Print_Area" localSheetId="2">COMPOSIÇÕES!$A$1:$H$3823</definedName>
    <definedName name="_xlnm.Print_Area" localSheetId="0">'Cronograma Físico-Financeiro'!$A$1:$AO$85</definedName>
    <definedName name="_xlnm.Print_Area" localSheetId="4">M.CALCULO!$A$1:$E$421</definedName>
    <definedName name="_xlnm.Print_Area" localSheetId="1">'PLANILHA ORÇAMENTARIA'!$A$1:$F$411</definedName>
    <definedName name="_xlnm.Print_Titles" localSheetId="2">COMPOSIÇÕES!$1:$9</definedName>
    <definedName name="_xlnm.Print_Titles" localSheetId="0">'Cronograma Físico-Financeiro'!$1:$12</definedName>
    <definedName name="_xlnm.Print_Titles" localSheetId="4">M.CALCULO!$7:$7</definedName>
    <definedName name="_xlnm.Print_Titles" localSheetId="1">'PLANILHA ORÇAMENTARIA'!$1:$11</definedName>
  </definedNames>
  <calcPr calcId="152511"/>
</workbook>
</file>

<file path=xl/calcChain.xml><?xml version="1.0" encoding="utf-8"?>
<calcChain xmlns="http://schemas.openxmlformats.org/spreadsheetml/2006/main">
  <c r="E2032" i="32" l="1"/>
  <c r="G2032" i="32" s="1"/>
  <c r="H2035" i="32" s="1"/>
  <c r="E2004" i="32"/>
  <c r="G2004" i="32" s="1"/>
  <c r="E2002" i="32"/>
  <c r="G2002" i="32" s="1"/>
  <c r="H2005" i="32" s="1"/>
  <c r="E1905" i="32"/>
  <c r="G1905" i="32" s="1"/>
  <c r="E1906" i="32"/>
  <c r="G1906" i="32" s="1"/>
  <c r="E1904" i="32"/>
  <c r="G1904" i="32" s="1"/>
  <c r="H1907" i="32" s="1"/>
  <c r="E1657" i="32"/>
  <c r="G1657" i="32" s="1"/>
  <c r="E1658" i="32"/>
  <c r="G1658" i="32" s="1"/>
  <c r="E1656" i="32"/>
  <c r="G1656" i="32" s="1"/>
  <c r="H1659" i="32" s="1"/>
  <c r="E1647" i="32"/>
  <c r="E1648" i="32"/>
  <c r="G1648" i="32" s="1"/>
  <c r="G1647" i="32"/>
  <c r="E1646" i="32"/>
  <c r="G1646" i="32" s="1"/>
  <c r="H1649" i="32" s="1"/>
  <c r="E1354" i="32"/>
  <c r="G1354" i="32" s="1"/>
  <c r="E1353" i="32"/>
  <c r="G1353" i="32" s="1"/>
  <c r="E1352" i="32"/>
  <c r="G1352" i="32" s="1"/>
  <c r="E1351" i="32"/>
  <c r="G1351" i="32" s="1"/>
  <c r="E1332" i="32"/>
  <c r="G1332" i="32" s="1"/>
  <c r="E1331" i="32"/>
  <c r="G1331" i="32" s="1"/>
  <c r="E1330" i="32"/>
  <c r="G1330" i="32" s="1"/>
  <c r="E1329" i="32"/>
  <c r="G1329" i="32" s="1"/>
  <c r="E1288" i="32"/>
  <c r="G1288" i="32" s="1"/>
  <c r="E1287" i="32"/>
  <c r="G1287" i="32" s="1"/>
  <c r="E1286" i="32"/>
  <c r="G1286" i="32" s="1"/>
  <c r="E1285" i="32"/>
  <c r="G1285" i="32" s="1"/>
  <c r="E1297" i="32"/>
  <c r="E1296" i="32"/>
  <c r="G1296" i="32" s="1"/>
  <c r="G1297" i="32"/>
  <c r="E1298" i="32"/>
  <c r="E1299" i="32"/>
  <c r="G1299" i="32" s="1"/>
  <c r="G1298" i="32"/>
  <c r="E1310" i="32"/>
  <c r="G1310" i="32" s="1"/>
  <c r="E1309" i="32"/>
  <c r="G1309" i="32" s="1"/>
  <c r="E1308" i="32"/>
  <c r="G1308" i="32" s="1"/>
  <c r="E1307" i="32"/>
  <c r="G1307" i="32" s="1"/>
  <c r="B390" i="39"/>
  <c r="G3706" i="32"/>
  <c r="G3704" i="32"/>
  <c r="G3703" i="32"/>
  <c r="G3705" i="32"/>
  <c r="G3702" i="32"/>
  <c r="G3701" i="32"/>
  <c r="G3700" i="32"/>
  <c r="G3699" i="32"/>
  <c r="D3698" i="32"/>
  <c r="G3698" i="32" s="1"/>
  <c r="G3697" i="32"/>
  <c r="G3696" i="32"/>
  <c r="G3695" i="32"/>
  <c r="G3694" i="32"/>
  <c r="G3693" i="32"/>
  <c r="E2034" i="32"/>
  <c r="G2034" i="32" s="1"/>
  <c r="E2033" i="32"/>
  <c r="G2033" i="32" s="1"/>
  <c r="E2003" i="32"/>
  <c r="G2003" i="32" s="1"/>
  <c r="E591" i="32"/>
  <c r="G591" i="32" s="1"/>
  <c r="E590" i="32"/>
  <c r="G590" i="32" s="1"/>
  <c r="E589" i="32"/>
  <c r="G589" i="32" s="1"/>
  <c r="E588" i="32"/>
  <c r="G588" i="32" s="1"/>
  <c r="E599" i="32"/>
  <c r="G599" i="32" s="1"/>
  <c r="E600" i="32"/>
  <c r="G600" i="32" s="1"/>
  <c r="E601" i="32"/>
  <c r="G601" i="32" s="1"/>
  <c r="E602" i="32"/>
  <c r="G602" i="32" s="1"/>
  <c r="E603" i="32"/>
  <c r="G603" i="32" s="1"/>
  <c r="E604" i="32"/>
  <c r="G604" i="32" s="1"/>
  <c r="E605" i="32"/>
  <c r="G605" i="32" s="1"/>
  <c r="E580" i="32"/>
  <c r="G580" i="32" s="1"/>
  <c r="E579" i="32"/>
  <c r="G579" i="32" s="1"/>
  <c r="E578" i="32"/>
  <c r="G578" i="32" s="1"/>
  <c r="E577" i="32"/>
  <c r="G577" i="32" s="1"/>
  <c r="E558" i="32"/>
  <c r="G558" i="32" s="1"/>
  <c r="E557" i="32"/>
  <c r="G557" i="32" s="1"/>
  <c r="E556" i="32"/>
  <c r="G556" i="32" s="1"/>
  <c r="E555" i="32"/>
  <c r="G555" i="32" s="1"/>
  <c r="E547" i="32"/>
  <c r="G547" i="32" s="1"/>
  <c r="E546" i="32"/>
  <c r="G546" i="32" s="1"/>
  <c r="E545" i="32"/>
  <c r="G545" i="32" s="1"/>
  <c r="E544" i="32"/>
  <c r="G544" i="32" s="1"/>
  <c r="E536" i="32"/>
  <c r="G536" i="32" s="1"/>
  <c r="E535" i="32"/>
  <c r="G535" i="32" s="1"/>
  <c r="E534" i="32"/>
  <c r="G534" i="32" s="1"/>
  <c r="E533" i="32"/>
  <c r="G533" i="32" s="1"/>
  <c r="E514" i="32"/>
  <c r="G514" i="32" s="1"/>
  <c r="E513" i="32"/>
  <c r="G513" i="32" s="1"/>
  <c r="E512" i="32"/>
  <c r="G512" i="32" s="1"/>
  <c r="E511" i="32"/>
  <c r="G511" i="32" s="1"/>
  <c r="E423" i="32"/>
  <c r="G423" i="32" s="1"/>
  <c r="E424" i="32"/>
  <c r="G424" i="32" s="1"/>
  <c r="E425" i="32"/>
  <c r="G425" i="32" s="1"/>
  <c r="E426" i="32"/>
  <c r="G426" i="32" s="1"/>
  <c r="E415" i="32"/>
  <c r="G415" i="32" s="1"/>
  <c r="E414" i="32"/>
  <c r="G414" i="32" s="1"/>
  <c r="E413" i="32"/>
  <c r="G413" i="32" s="1"/>
  <c r="E412" i="32"/>
  <c r="G412" i="32" s="1"/>
  <c r="E404" i="32"/>
  <c r="G404" i="32" s="1"/>
  <c r="E403" i="32"/>
  <c r="G403" i="32" s="1"/>
  <c r="E402" i="32"/>
  <c r="G402" i="32" s="1"/>
  <c r="E401" i="32"/>
  <c r="G401" i="32" s="1"/>
  <c r="H3708" i="32" l="1"/>
  <c r="H2036" i="32"/>
  <c r="H2037" i="32" s="1"/>
  <c r="H2038" i="32" s="1"/>
  <c r="H2039" i="32" s="1"/>
  <c r="H3707" i="32"/>
  <c r="H3709" i="32" s="1"/>
  <c r="H3710" i="32" s="1"/>
  <c r="H2006" i="32"/>
  <c r="H2007" i="32" s="1"/>
  <c r="H2008" i="32" s="1"/>
  <c r="H2009" i="32" s="1"/>
  <c r="H1908" i="32"/>
  <c r="H1909" i="32" s="1"/>
  <c r="H1910" i="32" s="1"/>
  <c r="H1911" i="32" s="1"/>
  <c r="H1660" i="32"/>
  <c r="H1650" i="32"/>
  <c r="H1651" i="32" s="1"/>
  <c r="H1652" i="32" s="1"/>
  <c r="H1653" i="32" s="1"/>
  <c r="H1661" i="32"/>
  <c r="H1662" i="32" s="1"/>
  <c r="H1663" i="32" s="1"/>
  <c r="H1355" i="32"/>
  <c r="H1356" i="32"/>
  <c r="H1333" i="32"/>
  <c r="H1334" i="32"/>
  <c r="H1289" i="32"/>
  <c r="H1290" i="32"/>
  <c r="H1300" i="32"/>
  <c r="H1301" i="32"/>
  <c r="H1311" i="32"/>
  <c r="H1312" i="32"/>
  <c r="H592" i="32"/>
  <c r="H593" i="32"/>
  <c r="H606" i="32"/>
  <c r="H559" i="32"/>
  <c r="H560" i="32"/>
  <c r="H581" i="32"/>
  <c r="H582" i="32"/>
  <c r="H537" i="32"/>
  <c r="H538" i="32"/>
  <c r="H548" i="32"/>
  <c r="H549" i="32"/>
  <c r="H515" i="32"/>
  <c r="H516" i="32"/>
  <c r="H428" i="32"/>
  <c r="H427" i="32"/>
  <c r="H416" i="32"/>
  <c r="H417" i="32"/>
  <c r="H405" i="32"/>
  <c r="H406" i="32"/>
  <c r="E1244" i="37"/>
  <c r="E1243" i="37"/>
  <c r="E1242" i="37"/>
  <c r="E1232" i="37"/>
  <c r="E1233" i="37"/>
  <c r="E1234" i="37"/>
  <c r="E1235" i="37"/>
  <c r="E1236" i="37"/>
  <c r="E1237" i="37"/>
  <c r="E1238" i="37"/>
  <c r="E1239" i="37"/>
  <c r="E1240" i="37"/>
  <c r="E1231" i="37"/>
  <c r="C1246" i="37"/>
  <c r="C1247" i="37"/>
  <c r="C1248" i="37"/>
  <c r="C1249" i="37"/>
  <c r="C1250" i="37"/>
  <c r="C1251" i="37"/>
  <c r="C1252" i="37"/>
  <c r="C1253" i="37"/>
  <c r="C1254" i="37"/>
  <c r="C1255" i="37"/>
  <c r="C1256" i="37"/>
  <c r="C1257" i="37"/>
  <c r="C1258" i="37"/>
  <c r="C1259" i="37"/>
  <c r="C1260" i="37"/>
  <c r="C1261" i="37"/>
  <c r="C1245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C60" i="37"/>
  <c r="C61" i="37"/>
  <c r="C62" i="37"/>
  <c r="C63" i="37"/>
  <c r="C64" i="37"/>
  <c r="C65" i="37"/>
  <c r="C66" i="37"/>
  <c r="C67" i="37"/>
  <c r="C68" i="37"/>
  <c r="C69" i="37"/>
  <c r="C70" i="37"/>
  <c r="C71" i="37"/>
  <c r="C72" i="37"/>
  <c r="C73" i="37"/>
  <c r="C74" i="37"/>
  <c r="C75" i="37"/>
  <c r="C76" i="37"/>
  <c r="C77" i="37"/>
  <c r="C78" i="37"/>
  <c r="C79" i="37"/>
  <c r="C80" i="37"/>
  <c r="C81" i="37"/>
  <c r="C82" i="37"/>
  <c r="C83" i="37"/>
  <c r="C84" i="37"/>
  <c r="C85" i="37"/>
  <c r="C86" i="37"/>
  <c r="C87" i="37"/>
  <c r="C88" i="37"/>
  <c r="C89" i="37"/>
  <c r="C90" i="37"/>
  <c r="C91" i="37"/>
  <c r="C92" i="37"/>
  <c r="C93" i="37"/>
  <c r="C94" i="37"/>
  <c r="C95" i="37"/>
  <c r="C96" i="37"/>
  <c r="C97" i="37"/>
  <c r="C98" i="37"/>
  <c r="C99" i="37"/>
  <c r="C100" i="37"/>
  <c r="C101" i="37"/>
  <c r="C102" i="37"/>
  <c r="C103" i="37"/>
  <c r="C104" i="37"/>
  <c r="C105" i="37"/>
  <c r="C106" i="37"/>
  <c r="C107" i="37"/>
  <c r="C108" i="37"/>
  <c r="C109" i="37"/>
  <c r="C110" i="37"/>
  <c r="C111" i="37"/>
  <c r="C112" i="37"/>
  <c r="C113" i="37"/>
  <c r="C114" i="37"/>
  <c r="C115" i="37"/>
  <c r="C116" i="37"/>
  <c r="C117" i="37"/>
  <c r="C118" i="37"/>
  <c r="C119" i="37"/>
  <c r="C120" i="37"/>
  <c r="C121" i="37"/>
  <c r="C122" i="37"/>
  <c r="C123" i="37"/>
  <c r="C124" i="37"/>
  <c r="C125" i="37"/>
  <c r="C126" i="37"/>
  <c r="C127" i="37"/>
  <c r="C128" i="37"/>
  <c r="C129" i="37"/>
  <c r="C130" i="37"/>
  <c r="C131" i="37"/>
  <c r="C132" i="37"/>
  <c r="C133" i="37"/>
  <c r="C134" i="37"/>
  <c r="C135" i="37"/>
  <c r="C136" i="37"/>
  <c r="C137" i="37"/>
  <c r="C138" i="37"/>
  <c r="C139" i="37"/>
  <c r="C140" i="37"/>
  <c r="C141" i="37"/>
  <c r="C142" i="37"/>
  <c r="C143" i="37"/>
  <c r="C144" i="37"/>
  <c r="C145" i="37"/>
  <c r="C146" i="37"/>
  <c r="C147" i="37"/>
  <c r="C148" i="37"/>
  <c r="C149" i="37"/>
  <c r="C150" i="37"/>
  <c r="C151" i="37"/>
  <c r="C152" i="37"/>
  <c r="C153" i="37"/>
  <c r="C154" i="37"/>
  <c r="C155" i="37"/>
  <c r="C156" i="37"/>
  <c r="C157" i="37"/>
  <c r="C158" i="37"/>
  <c r="C159" i="37"/>
  <c r="C160" i="37"/>
  <c r="C161" i="37"/>
  <c r="C162" i="37"/>
  <c r="C163" i="37"/>
  <c r="C164" i="37"/>
  <c r="C165" i="37"/>
  <c r="C166" i="37"/>
  <c r="C167" i="37"/>
  <c r="C168" i="37"/>
  <c r="C169" i="37"/>
  <c r="C170" i="37"/>
  <c r="C171" i="37"/>
  <c r="C172" i="37"/>
  <c r="C173" i="37"/>
  <c r="C174" i="37"/>
  <c r="C175" i="37"/>
  <c r="C176" i="37"/>
  <c r="C177" i="37"/>
  <c r="C178" i="37"/>
  <c r="C179" i="37"/>
  <c r="C180" i="37"/>
  <c r="C181" i="37"/>
  <c r="C182" i="37"/>
  <c r="C183" i="37"/>
  <c r="C184" i="37"/>
  <c r="C185" i="37"/>
  <c r="C186" i="37"/>
  <c r="C187" i="37"/>
  <c r="C188" i="37"/>
  <c r="C189" i="37"/>
  <c r="C190" i="37"/>
  <c r="C191" i="37"/>
  <c r="C192" i="37"/>
  <c r="C193" i="37"/>
  <c r="C194" i="37"/>
  <c r="C195" i="37"/>
  <c r="C196" i="37"/>
  <c r="C197" i="37"/>
  <c r="C198" i="37"/>
  <c r="C199" i="37"/>
  <c r="C200" i="37"/>
  <c r="C201" i="37"/>
  <c r="C202" i="37"/>
  <c r="C203" i="37"/>
  <c r="C204" i="37"/>
  <c r="C205" i="37"/>
  <c r="C206" i="37"/>
  <c r="C207" i="37"/>
  <c r="C208" i="37"/>
  <c r="C209" i="37"/>
  <c r="C210" i="37"/>
  <c r="C211" i="37"/>
  <c r="C212" i="37"/>
  <c r="C213" i="37"/>
  <c r="C214" i="37"/>
  <c r="C215" i="37"/>
  <c r="C216" i="37"/>
  <c r="C217" i="37"/>
  <c r="C218" i="37"/>
  <c r="C219" i="37"/>
  <c r="C220" i="37"/>
  <c r="C221" i="37"/>
  <c r="C222" i="37"/>
  <c r="C223" i="37"/>
  <c r="C224" i="37"/>
  <c r="C225" i="37"/>
  <c r="C226" i="37"/>
  <c r="C227" i="37"/>
  <c r="C228" i="37"/>
  <c r="C229" i="37"/>
  <c r="C230" i="37"/>
  <c r="C231" i="37"/>
  <c r="C232" i="37"/>
  <c r="C233" i="37"/>
  <c r="C234" i="37"/>
  <c r="C235" i="37"/>
  <c r="C236" i="37"/>
  <c r="C237" i="37"/>
  <c r="C238" i="37"/>
  <c r="C239" i="37"/>
  <c r="C240" i="37"/>
  <c r="C241" i="37"/>
  <c r="C242" i="37"/>
  <c r="C243" i="37"/>
  <c r="C244" i="37"/>
  <c r="C245" i="37"/>
  <c r="C246" i="37"/>
  <c r="C247" i="37"/>
  <c r="C248" i="37"/>
  <c r="C249" i="37"/>
  <c r="C250" i="37"/>
  <c r="C251" i="37"/>
  <c r="C252" i="37"/>
  <c r="C253" i="37"/>
  <c r="C254" i="37"/>
  <c r="C255" i="37"/>
  <c r="C256" i="37"/>
  <c r="C257" i="37"/>
  <c r="C258" i="37"/>
  <c r="C259" i="37"/>
  <c r="C260" i="37"/>
  <c r="C261" i="37"/>
  <c r="C262" i="37"/>
  <c r="C263" i="37"/>
  <c r="C264" i="37"/>
  <c r="C265" i="37"/>
  <c r="C266" i="37"/>
  <c r="C267" i="37"/>
  <c r="C268" i="37"/>
  <c r="C269" i="37"/>
  <c r="C270" i="37"/>
  <c r="C271" i="37"/>
  <c r="C272" i="37"/>
  <c r="C273" i="37"/>
  <c r="C274" i="37"/>
  <c r="C275" i="37"/>
  <c r="C276" i="37"/>
  <c r="C277" i="37"/>
  <c r="C278" i="37"/>
  <c r="C279" i="37"/>
  <c r="C280" i="37"/>
  <c r="C281" i="37"/>
  <c r="C282" i="37"/>
  <c r="C283" i="37"/>
  <c r="C284" i="37"/>
  <c r="C285" i="37"/>
  <c r="C286" i="37"/>
  <c r="C287" i="37"/>
  <c r="C288" i="37"/>
  <c r="C289" i="37"/>
  <c r="C290" i="37"/>
  <c r="C291" i="37"/>
  <c r="C292" i="37"/>
  <c r="C293" i="37"/>
  <c r="C294" i="37"/>
  <c r="C295" i="37"/>
  <c r="C296" i="37"/>
  <c r="C297" i="37"/>
  <c r="C298" i="37"/>
  <c r="C299" i="37"/>
  <c r="C300" i="37"/>
  <c r="C301" i="37"/>
  <c r="C302" i="37"/>
  <c r="C303" i="37"/>
  <c r="C304" i="37"/>
  <c r="C305" i="37"/>
  <c r="C306" i="37"/>
  <c r="C307" i="37"/>
  <c r="C308" i="37"/>
  <c r="C309" i="37"/>
  <c r="C310" i="37"/>
  <c r="C311" i="37"/>
  <c r="C312" i="37"/>
  <c r="C313" i="37"/>
  <c r="C314" i="37"/>
  <c r="C315" i="37"/>
  <c r="C316" i="37"/>
  <c r="C317" i="37"/>
  <c r="C318" i="37"/>
  <c r="C319" i="37"/>
  <c r="C320" i="37"/>
  <c r="C321" i="37"/>
  <c r="C322" i="37"/>
  <c r="C323" i="37"/>
  <c r="C324" i="37"/>
  <c r="C325" i="37"/>
  <c r="C326" i="37"/>
  <c r="C327" i="37"/>
  <c r="C328" i="37"/>
  <c r="C329" i="37"/>
  <c r="C330" i="37"/>
  <c r="C331" i="37"/>
  <c r="C332" i="37"/>
  <c r="C333" i="37"/>
  <c r="C334" i="37"/>
  <c r="C335" i="37"/>
  <c r="C336" i="37"/>
  <c r="C337" i="37"/>
  <c r="C338" i="37"/>
  <c r="C339" i="37"/>
  <c r="C340" i="37"/>
  <c r="C341" i="37"/>
  <c r="C342" i="37"/>
  <c r="C343" i="37"/>
  <c r="C344" i="37"/>
  <c r="C345" i="37"/>
  <c r="C346" i="37"/>
  <c r="C347" i="37"/>
  <c r="C348" i="37"/>
  <c r="C349" i="37"/>
  <c r="C350" i="37"/>
  <c r="C351" i="37"/>
  <c r="C352" i="37"/>
  <c r="C353" i="37"/>
  <c r="C354" i="37"/>
  <c r="C355" i="37"/>
  <c r="C356" i="37"/>
  <c r="C357" i="37"/>
  <c r="C358" i="37"/>
  <c r="C359" i="37"/>
  <c r="C360" i="37"/>
  <c r="C361" i="37"/>
  <c r="C362" i="37"/>
  <c r="C363" i="37"/>
  <c r="C364" i="37"/>
  <c r="C365" i="37"/>
  <c r="C366" i="37"/>
  <c r="C367" i="37"/>
  <c r="C368" i="37"/>
  <c r="C369" i="37"/>
  <c r="C370" i="37"/>
  <c r="C371" i="37"/>
  <c r="C372" i="37"/>
  <c r="C373" i="37"/>
  <c r="C374" i="37"/>
  <c r="C375" i="37"/>
  <c r="C376" i="37"/>
  <c r="C377" i="37"/>
  <c r="C378" i="37"/>
  <c r="C379" i="37"/>
  <c r="C380" i="37"/>
  <c r="C381" i="37"/>
  <c r="C382" i="37"/>
  <c r="C383" i="37"/>
  <c r="C384" i="37"/>
  <c r="C385" i="37"/>
  <c r="C386" i="37"/>
  <c r="C387" i="37"/>
  <c r="C388" i="37"/>
  <c r="C389" i="37"/>
  <c r="C390" i="37"/>
  <c r="C391" i="37"/>
  <c r="C392" i="37"/>
  <c r="C393" i="37"/>
  <c r="C394" i="37"/>
  <c r="C395" i="37"/>
  <c r="C396" i="37"/>
  <c r="C397" i="37"/>
  <c r="C398" i="37"/>
  <c r="C399" i="37"/>
  <c r="C400" i="37"/>
  <c r="C401" i="37"/>
  <c r="C402" i="37"/>
  <c r="C403" i="37"/>
  <c r="C404" i="37"/>
  <c r="C405" i="37"/>
  <c r="C406" i="37"/>
  <c r="C407" i="37"/>
  <c r="C408" i="37"/>
  <c r="C409" i="37"/>
  <c r="C410" i="37"/>
  <c r="C411" i="37"/>
  <c r="C412" i="37"/>
  <c r="C413" i="37"/>
  <c r="C414" i="37"/>
  <c r="C415" i="37"/>
  <c r="C416" i="37"/>
  <c r="C417" i="37"/>
  <c r="C418" i="37"/>
  <c r="C419" i="37"/>
  <c r="C420" i="37"/>
  <c r="C421" i="37"/>
  <c r="C422" i="37"/>
  <c r="C423" i="37"/>
  <c r="C424" i="37"/>
  <c r="C425" i="37"/>
  <c r="C426" i="37"/>
  <c r="C427" i="37"/>
  <c r="C428" i="37"/>
  <c r="C429" i="37"/>
  <c r="C430" i="37"/>
  <c r="C431" i="37"/>
  <c r="C432" i="37"/>
  <c r="C433" i="37"/>
  <c r="C434" i="37"/>
  <c r="C435" i="37"/>
  <c r="C436" i="37"/>
  <c r="C437" i="37"/>
  <c r="C438" i="37"/>
  <c r="C439" i="37"/>
  <c r="C440" i="37"/>
  <c r="C441" i="37"/>
  <c r="C442" i="37"/>
  <c r="C443" i="37"/>
  <c r="C444" i="37"/>
  <c r="C445" i="37"/>
  <c r="C446" i="37"/>
  <c r="C447" i="37"/>
  <c r="C448" i="37"/>
  <c r="C449" i="37"/>
  <c r="C450" i="37"/>
  <c r="C451" i="37"/>
  <c r="C452" i="37"/>
  <c r="C453" i="37"/>
  <c r="C454" i="37"/>
  <c r="C455" i="37"/>
  <c r="C456" i="37"/>
  <c r="C457" i="37"/>
  <c r="C458" i="37"/>
  <c r="C459" i="37"/>
  <c r="C460" i="37"/>
  <c r="C461" i="37"/>
  <c r="C462" i="37"/>
  <c r="C463" i="37"/>
  <c r="C464" i="37"/>
  <c r="C465" i="37"/>
  <c r="C466" i="37"/>
  <c r="C467" i="37"/>
  <c r="C468" i="37"/>
  <c r="C469" i="37"/>
  <c r="C470" i="37"/>
  <c r="C471" i="37"/>
  <c r="C472" i="37"/>
  <c r="C473" i="37"/>
  <c r="C474" i="37"/>
  <c r="C475" i="37"/>
  <c r="C476" i="37"/>
  <c r="C477" i="37"/>
  <c r="C478" i="37"/>
  <c r="C479" i="37"/>
  <c r="C480" i="37"/>
  <c r="C481" i="37"/>
  <c r="C482" i="37"/>
  <c r="C483" i="37"/>
  <c r="C484" i="37"/>
  <c r="C485" i="37"/>
  <c r="C486" i="37"/>
  <c r="C487" i="37"/>
  <c r="C488" i="37"/>
  <c r="C489" i="37"/>
  <c r="C490" i="37"/>
  <c r="C491" i="37"/>
  <c r="C492" i="37"/>
  <c r="C493" i="37"/>
  <c r="C494" i="37"/>
  <c r="C495" i="37"/>
  <c r="C496" i="37"/>
  <c r="C497" i="37"/>
  <c r="C498" i="37"/>
  <c r="C499" i="37"/>
  <c r="C500" i="37"/>
  <c r="C501" i="37"/>
  <c r="C502" i="37"/>
  <c r="C503" i="37"/>
  <c r="C504" i="37"/>
  <c r="C505" i="37"/>
  <c r="C506" i="37"/>
  <c r="C507" i="37"/>
  <c r="C508" i="37"/>
  <c r="C509" i="37"/>
  <c r="C510" i="37"/>
  <c r="C511" i="37"/>
  <c r="C512" i="37"/>
  <c r="C513" i="37"/>
  <c r="C514" i="37"/>
  <c r="C515" i="37"/>
  <c r="C516" i="37"/>
  <c r="C517" i="37"/>
  <c r="C518" i="37"/>
  <c r="C519" i="37"/>
  <c r="C520" i="37"/>
  <c r="C521" i="37"/>
  <c r="C522" i="37"/>
  <c r="C523" i="37"/>
  <c r="C524" i="37"/>
  <c r="C525" i="37"/>
  <c r="C526" i="37"/>
  <c r="C527" i="37"/>
  <c r="C528" i="37"/>
  <c r="C529" i="37"/>
  <c r="C530" i="37"/>
  <c r="C531" i="37"/>
  <c r="C532" i="37"/>
  <c r="C533" i="37"/>
  <c r="C534" i="37"/>
  <c r="C535" i="37"/>
  <c r="C536" i="37"/>
  <c r="C537" i="37"/>
  <c r="C538" i="37"/>
  <c r="C539" i="37"/>
  <c r="C540" i="37"/>
  <c r="C541" i="37"/>
  <c r="C542" i="37"/>
  <c r="C543" i="37"/>
  <c r="C544" i="37"/>
  <c r="C545" i="37"/>
  <c r="C546" i="37"/>
  <c r="C547" i="37"/>
  <c r="C548" i="37"/>
  <c r="C549" i="37"/>
  <c r="C550" i="37"/>
  <c r="C551" i="37"/>
  <c r="C552" i="37"/>
  <c r="C553" i="37"/>
  <c r="C554" i="37"/>
  <c r="C555" i="37"/>
  <c r="C556" i="37"/>
  <c r="C557" i="37"/>
  <c r="C558" i="37"/>
  <c r="C559" i="37"/>
  <c r="C560" i="37"/>
  <c r="C561" i="37"/>
  <c r="C562" i="37"/>
  <c r="C563" i="37"/>
  <c r="C564" i="37"/>
  <c r="C565" i="37"/>
  <c r="C566" i="37"/>
  <c r="C567" i="37"/>
  <c r="C568" i="37"/>
  <c r="C569" i="37"/>
  <c r="C570" i="37"/>
  <c r="C571" i="37"/>
  <c r="C572" i="37"/>
  <c r="C573" i="37"/>
  <c r="C574" i="37"/>
  <c r="C575" i="37"/>
  <c r="C576" i="37"/>
  <c r="C577" i="37"/>
  <c r="C578" i="37"/>
  <c r="C579" i="37"/>
  <c r="C580" i="37"/>
  <c r="C581" i="37"/>
  <c r="C582" i="37"/>
  <c r="C583" i="37"/>
  <c r="C584" i="37"/>
  <c r="C585" i="37"/>
  <c r="C586" i="37"/>
  <c r="C587" i="37"/>
  <c r="C588" i="37"/>
  <c r="C589" i="37"/>
  <c r="C590" i="37"/>
  <c r="C591" i="37"/>
  <c r="C592" i="37"/>
  <c r="C593" i="37"/>
  <c r="C594" i="37"/>
  <c r="C595" i="37"/>
  <c r="C596" i="37"/>
  <c r="C597" i="37"/>
  <c r="C598" i="37"/>
  <c r="C599" i="37"/>
  <c r="C600" i="37"/>
  <c r="C601" i="37"/>
  <c r="C602" i="37"/>
  <c r="C603" i="37"/>
  <c r="C604" i="37"/>
  <c r="C605" i="37"/>
  <c r="C606" i="37"/>
  <c r="C607" i="37"/>
  <c r="C608" i="37"/>
  <c r="C609" i="37"/>
  <c r="C610" i="37"/>
  <c r="C611" i="37"/>
  <c r="C612" i="37"/>
  <c r="C613" i="37"/>
  <c r="C614" i="37"/>
  <c r="C615" i="37"/>
  <c r="C616" i="37"/>
  <c r="C617" i="37"/>
  <c r="C618" i="37"/>
  <c r="C619" i="37"/>
  <c r="C620" i="37"/>
  <c r="C621" i="37"/>
  <c r="C622" i="37"/>
  <c r="C623" i="37"/>
  <c r="C624" i="37"/>
  <c r="C625" i="37"/>
  <c r="C626" i="37"/>
  <c r="C627" i="37"/>
  <c r="C628" i="37"/>
  <c r="C629" i="37"/>
  <c r="C630" i="37"/>
  <c r="C631" i="37"/>
  <c r="C632" i="37"/>
  <c r="C633" i="37"/>
  <c r="C634" i="37"/>
  <c r="C635" i="37"/>
  <c r="C636" i="37"/>
  <c r="C637" i="37"/>
  <c r="C638" i="37"/>
  <c r="C639" i="37"/>
  <c r="C640" i="37"/>
  <c r="C641" i="37"/>
  <c r="C642" i="37"/>
  <c r="C643" i="37"/>
  <c r="C644" i="37"/>
  <c r="C645" i="37"/>
  <c r="C646" i="37"/>
  <c r="C647" i="37"/>
  <c r="C648" i="37"/>
  <c r="C649" i="37"/>
  <c r="C650" i="37"/>
  <c r="C651" i="37"/>
  <c r="C652" i="37"/>
  <c r="C653" i="37"/>
  <c r="C654" i="37"/>
  <c r="C655" i="37"/>
  <c r="C656" i="37"/>
  <c r="C657" i="37"/>
  <c r="C658" i="37"/>
  <c r="C659" i="37"/>
  <c r="C660" i="37"/>
  <c r="C661" i="37"/>
  <c r="C662" i="37"/>
  <c r="C663" i="37"/>
  <c r="C664" i="37"/>
  <c r="C665" i="37"/>
  <c r="C666" i="37"/>
  <c r="C667" i="37"/>
  <c r="C668" i="37"/>
  <c r="C669" i="37"/>
  <c r="C670" i="37"/>
  <c r="C671" i="37"/>
  <c r="C672" i="37"/>
  <c r="C673" i="37"/>
  <c r="C674" i="37"/>
  <c r="C675" i="37"/>
  <c r="C676" i="37"/>
  <c r="C677" i="37"/>
  <c r="C678" i="37"/>
  <c r="C679" i="37"/>
  <c r="C680" i="37"/>
  <c r="C681" i="37"/>
  <c r="C682" i="37"/>
  <c r="C683" i="37"/>
  <c r="C684" i="37"/>
  <c r="C685" i="37"/>
  <c r="C686" i="37"/>
  <c r="C687" i="37"/>
  <c r="C688" i="37"/>
  <c r="C689" i="37"/>
  <c r="C690" i="37"/>
  <c r="C691" i="37"/>
  <c r="C692" i="37"/>
  <c r="C693" i="37"/>
  <c r="C694" i="37"/>
  <c r="C695" i="37"/>
  <c r="C696" i="37"/>
  <c r="C697" i="37"/>
  <c r="C698" i="37"/>
  <c r="C699" i="37"/>
  <c r="C700" i="37"/>
  <c r="C701" i="37"/>
  <c r="C702" i="37"/>
  <c r="C703" i="37"/>
  <c r="C704" i="37"/>
  <c r="C705" i="37"/>
  <c r="C706" i="37"/>
  <c r="C707" i="37"/>
  <c r="C708" i="37"/>
  <c r="C709" i="37"/>
  <c r="C710" i="37"/>
  <c r="C711" i="37"/>
  <c r="C712" i="37"/>
  <c r="C713" i="37"/>
  <c r="C714" i="37"/>
  <c r="C715" i="37"/>
  <c r="C716" i="37"/>
  <c r="C717" i="37"/>
  <c r="C718" i="37"/>
  <c r="C719" i="37"/>
  <c r="C720" i="37"/>
  <c r="C721" i="37"/>
  <c r="C722" i="37"/>
  <c r="C723" i="37"/>
  <c r="C724" i="37"/>
  <c r="C725" i="37"/>
  <c r="C726" i="37"/>
  <c r="C727" i="37"/>
  <c r="C728" i="37"/>
  <c r="C729" i="37"/>
  <c r="C730" i="37"/>
  <c r="C731" i="37"/>
  <c r="C732" i="37"/>
  <c r="C733" i="37"/>
  <c r="C734" i="37"/>
  <c r="C735" i="37"/>
  <c r="C736" i="37"/>
  <c r="C737" i="37"/>
  <c r="C738" i="37"/>
  <c r="C739" i="37"/>
  <c r="C740" i="37"/>
  <c r="C741" i="37"/>
  <c r="C742" i="37"/>
  <c r="C743" i="37"/>
  <c r="C744" i="37"/>
  <c r="C745" i="37"/>
  <c r="C746" i="37"/>
  <c r="C747" i="37"/>
  <c r="C748" i="37"/>
  <c r="C749" i="37"/>
  <c r="C750" i="37"/>
  <c r="C751" i="37"/>
  <c r="C752" i="37"/>
  <c r="C753" i="37"/>
  <c r="C754" i="37"/>
  <c r="C755" i="37"/>
  <c r="C756" i="37"/>
  <c r="C757" i="37"/>
  <c r="C758" i="37"/>
  <c r="C759" i="37"/>
  <c r="C760" i="37"/>
  <c r="C761" i="37"/>
  <c r="C762" i="37"/>
  <c r="C763" i="37"/>
  <c r="C764" i="37"/>
  <c r="C765" i="37"/>
  <c r="C766" i="37"/>
  <c r="C767" i="37"/>
  <c r="C768" i="37"/>
  <c r="C769" i="37"/>
  <c r="C770" i="37"/>
  <c r="C771" i="37"/>
  <c r="C772" i="37"/>
  <c r="C773" i="37"/>
  <c r="C774" i="37"/>
  <c r="C775" i="37"/>
  <c r="C776" i="37"/>
  <c r="C777" i="37"/>
  <c r="C778" i="37"/>
  <c r="C779" i="37"/>
  <c r="C780" i="37"/>
  <c r="C781" i="37"/>
  <c r="C782" i="37"/>
  <c r="C783" i="37"/>
  <c r="C784" i="37"/>
  <c r="C785" i="37"/>
  <c r="C786" i="37"/>
  <c r="C787" i="37"/>
  <c r="C788" i="37"/>
  <c r="C789" i="37"/>
  <c r="C790" i="37"/>
  <c r="C791" i="37"/>
  <c r="C792" i="37"/>
  <c r="C793" i="37"/>
  <c r="C794" i="37"/>
  <c r="C795" i="37"/>
  <c r="C796" i="37"/>
  <c r="C797" i="37"/>
  <c r="C798" i="37"/>
  <c r="C799" i="37"/>
  <c r="C800" i="37"/>
  <c r="C801" i="37"/>
  <c r="C802" i="37"/>
  <c r="C803" i="37"/>
  <c r="C804" i="37"/>
  <c r="C805" i="37"/>
  <c r="C806" i="37"/>
  <c r="C807" i="37"/>
  <c r="C808" i="37"/>
  <c r="C809" i="37"/>
  <c r="C810" i="37"/>
  <c r="C811" i="37"/>
  <c r="C812" i="37"/>
  <c r="C813" i="37"/>
  <c r="C814" i="37"/>
  <c r="C815" i="37"/>
  <c r="C816" i="37"/>
  <c r="C817" i="37"/>
  <c r="C818" i="37"/>
  <c r="C819" i="37"/>
  <c r="C820" i="37"/>
  <c r="C821" i="37"/>
  <c r="C822" i="37"/>
  <c r="C823" i="37"/>
  <c r="C824" i="37"/>
  <c r="C825" i="37"/>
  <c r="C826" i="37"/>
  <c r="C827" i="37"/>
  <c r="C828" i="37"/>
  <c r="C829" i="37"/>
  <c r="C830" i="37"/>
  <c r="C831" i="37"/>
  <c r="C832" i="37"/>
  <c r="C833" i="37"/>
  <c r="C834" i="37"/>
  <c r="C835" i="37"/>
  <c r="C836" i="37"/>
  <c r="C837" i="37"/>
  <c r="C838" i="37"/>
  <c r="C839" i="37"/>
  <c r="C840" i="37"/>
  <c r="C841" i="37"/>
  <c r="C842" i="37"/>
  <c r="C843" i="37"/>
  <c r="C844" i="37"/>
  <c r="C845" i="37"/>
  <c r="C846" i="37"/>
  <c r="C847" i="37"/>
  <c r="C848" i="37"/>
  <c r="C849" i="37"/>
  <c r="C850" i="37"/>
  <c r="C851" i="37"/>
  <c r="C852" i="37"/>
  <c r="C853" i="37"/>
  <c r="C854" i="37"/>
  <c r="C855" i="37"/>
  <c r="C856" i="37"/>
  <c r="C857" i="37"/>
  <c r="C858" i="37"/>
  <c r="C859" i="37"/>
  <c r="C860" i="37"/>
  <c r="C861" i="37"/>
  <c r="C862" i="37"/>
  <c r="C863" i="37"/>
  <c r="C864" i="37"/>
  <c r="C865" i="37"/>
  <c r="C866" i="37"/>
  <c r="C867" i="37"/>
  <c r="C868" i="37"/>
  <c r="C869" i="37"/>
  <c r="C870" i="37"/>
  <c r="C871" i="37"/>
  <c r="C872" i="37"/>
  <c r="C873" i="37"/>
  <c r="C874" i="37"/>
  <c r="C875" i="37"/>
  <c r="C876" i="37"/>
  <c r="C877" i="37"/>
  <c r="C878" i="37"/>
  <c r="C879" i="37"/>
  <c r="C880" i="37"/>
  <c r="C881" i="37"/>
  <c r="C882" i="37"/>
  <c r="C883" i="37"/>
  <c r="C884" i="37"/>
  <c r="C885" i="37"/>
  <c r="C886" i="37"/>
  <c r="C887" i="37"/>
  <c r="C888" i="37"/>
  <c r="C889" i="37"/>
  <c r="C890" i="37"/>
  <c r="C891" i="37"/>
  <c r="C892" i="37"/>
  <c r="C893" i="37"/>
  <c r="C894" i="37"/>
  <c r="C895" i="37"/>
  <c r="C896" i="37"/>
  <c r="C897" i="37"/>
  <c r="C898" i="37"/>
  <c r="C899" i="37"/>
  <c r="C900" i="37"/>
  <c r="C901" i="37"/>
  <c r="C902" i="37"/>
  <c r="C903" i="37"/>
  <c r="C904" i="37"/>
  <c r="C905" i="37"/>
  <c r="C906" i="37"/>
  <c r="C907" i="37"/>
  <c r="C908" i="37"/>
  <c r="C909" i="37"/>
  <c r="C910" i="37"/>
  <c r="C911" i="37"/>
  <c r="C912" i="37"/>
  <c r="C913" i="37"/>
  <c r="C914" i="37"/>
  <c r="C915" i="37"/>
  <c r="C916" i="37"/>
  <c r="C917" i="37"/>
  <c r="C918" i="37"/>
  <c r="C919" i="37"/>
  <c r="C920" i="37"/>
  <c r="C921" i="37"/>
  <c r="C922" i="37"/>
  <c r="C923" i="37"/>
  <c r="C924" i="37"/>
  <c r="C925" i="37"/>
  <c r="C926" i="37"/>
  <c r="C927" i="37"/>
  <c r="C928" i="37"/>
  <c r="C929" i="37"/>
  <c r="C930" i="37"/>
  <c r="C931" i="37"/>
  <c r="C932" i="37"/>
  <c r="C933" i="37"/>
  <c r="C934" i="37"/>
  <c r="C935" i="37"/>
  <c r="C936" i="37"/>
  <c r="C937" i="37"/>
  <c r="C938" i="37"/>
  <c r="C939" i="37"/>
  <c r="C940" i="37"/>
  <c r="C941" i="37"/>
  <c r="C942" i="37"/>
  <c r="C943" i="37"/>
  <c r="C944" i="37"/>
  <c r="C945" i="37"/>
  <c r="C946" i="37"/>
  <c r="C947" i="37"/>
  <c r="C948" i="37"/>
  <c r="C949" i="37"/>
  <c r="C950" i="37"/>
  <c r="C951" i="37"/>
  <c r="C952" i="37"/>
  <c r="C953" i="37"/>
  <c r="C954" i="37"/>
  <c r="C955" i="37"/>
  <c r="C956" i="37"/>
  <c r="C957" i="37"/>
  <c r="C958" i="37"/>
  <c r="C959" i="37"/>
  <c r="C960" i="37"/>
  <c r="C961" i="37"/>
  <c r="C962" i="37"/>
  <c r="C963" i="37"/>
  <c r="C964" i="37"/>
  <c r="C965" i="37"/>
  <c r="C966" i="37"/>
  <c r="C967" i="37"/>
  <c r="C968" i="37"/>
  <c r="C969" i="37"/>
  <c r="C970" i="37"/>
  <c r="C971" i="37"/>
  <c r="C972" i="37"/>
  <c r="C973" i="37"/>
  <c r="C974" i="37"/>
  <c r="C975" i="37"/>
  <c r="C976" i="37"/>
  <c r="C977" i="37"/>
  <c r="C978" i="37"/>
  <c r="C979" i="37"/>
  <c r="C980" i="37"/>
  <c r="C981" i="37"/>
  <c r="C982" i="37"/>
  <c r="C983" i="37"/>
  <c r="C984" i="37"/>
  <c r="C985" i="37"/>
  <c r="C986" i="37"/>
  <c r="C987" i="37"/>
  <c r="C988" i="37"/>
  <c r="C989" i="37"/>
  <c r="C990" i="37"/>
  <c r="C991" i="37"/>
  <c r="C992" i="37"/>
  <c r="C993" i="37"/>
  <c r="C994" i="37"/>
  <c r="C995" i="37"/>
  <c r="C996" i="37"/>
  <c r="C997" i="37"/>
  <c r="C998" i="37"/>
  <c r="C999" i="37"/>
  <c r="C1000" i="37"/>
  <c r="C1001" i="37"/>
  <c r="C1002" i="37"/>
  <c r="C1003" i="37"/>
  <c r="C1004" i="37"/>
  <c r="C1005" i="37"/>
  <c r="C1006" i="37"/>
  <c r="C1007" i="37"/>
  <c r="C1008" i="37"/>
  <c r="C1009" i="37"/>
  <c r="C1010" i="37"/>
  <c r="C1011" i="37"/>
  <c r="C1012" i="37"/>
  <c r="C1013" i="37"/>
  <c r="C1014" i="37"/>
  <c r="C1015" i="37"/>
  <c r="C1016" i="37"/>
  <c r="C1017" i="37"/>
  <c r="C1018" i="37"/>
  <c r="C1019" i="37"/>
  <c r="C1020" i="37"/>
  <c r="C1021" i="37"/>
  <c r="C1022" i="37"/>
  <c r="C1023" i="37"/>
  <c r="C1024" i="37"/>
  <c r="C1025" i="37"/>
  <c r="C1026" i="37"/>
  <c r="C1027" i="37"/>
  <c r="C1028" i="37"/>
  <c r="C1029" i="37"/>
  <c r="C1030" i="37"/>
  <c r="C1031" i="37"/>
  <c r="C1032" i="37"/>
  <c r="C1033" i="37"/>
  <c r="C1034" i="37"/>
  <c r="C1035" i="37"/>
  <c r="C1036" i="37"/>
  <c r="C1037" i="37"/>
  <c r="C1038" i="37"/>
  <c r="C1039" i="37"/>
  <c r="C1040" i="37"/>
  <c r="C1041" i="37"/>
  <c r="C1042" i="37"/>
  <c r="C1043" i="37"/>
  <c r="C1044" i="37"/>
  <c r="C1045" i="37"/>
  <c r="C1046" i="37"/>
  <c r="C1047" i="37"/>
  <c r="C1048" i="37"/>
  <c r="C1049" i="37"/>
  <c r="C1050" i="37"/>
  <c r="C1051" i="37"/>
  <c r="C1052" i="37"/>
  <c r="C1053" i="37"/>
  <c r="C1054" i="37"/>
  <c r="C1055" i="37"/>
  <c r="C1056" i="37"/>
  <c r="C1057" i="37"/>
  <c r="C1058" i="37"/>
  <c r="C1059" i="37"/>
  <c r="C1060" i="37"/>
  <c r="C1061" i="37"/>
  <c r="C1062" i="37"/>
  <c r="C1063" i="37"/>
  <c r="C1064" i="37"/>
  <c r="C1065" i="37"/>
  <c r="C1066" i="37"/>
  <c r="C1067" i="37"/>
  <c r="C1068" i="37"/>
  <c r="C1069" i="37"/>
  <c r="C1070" i="37"/>
  <c r="C1071" i="37"/>
  <c r="C1072" i="37"/>
  <c r="C1073" i="37"/>
  <c r="C1074" i="37"/>
  <c r="C1075" i="37"/>
  <c r="C1076" i="37"/>
  <c r="C1077" i="37"/>
  <c r="C1078" i="37"/>
  <c r="C1079" i="37"/>
  <c r="C1080" i="37"/>
  <c r="C1081" i="37"/>
  <c r="C1082" i="37"/>
  <c r="C1083" i="37"/>
  <c r="C1084" i="37"/>
  <c r="C1085" i="37"/>
  <c r="C1086" i="37"/>
  <c r="C1087" i="37"/>
  <c r="C1088" i="37"/>
  <c r="C1089" i="37"/>
  <c r="C1090" i="37"/>
  <c r="C1091" i="37"/>
  <c r="C1092" i="37"/>
  <c r="C1093" i="37"/>
  <c r="C1094" i="37"/>
  <c r="C1095" i="37"/>
  <c r="C1096" i="37"/>
  <c r="C1097" i="37"/>
  <c r="C1098" i="37"/>
  <c r="C1099" i="37"/>
  <c r="C1100" i="37"/>
  <c r="C1101" i="37"/>
  <c r="C1102" i="37"/>
  <c r="C1103" i="37"/>
  <c r="C1104" i="37"/>
  <c r="C1105" i="37"/>
  <c r="C1106" i="37"/>
  <c r="C1107" i="37"/>
  <c r="C1108" i="37"/>
  <c r="C1109" i="37"/>
  <c r="C1110" i="37"/>
  <c r="C1111" i="37"/>
  <c r="C1112" i="37"/>
  <c r="C1113" i="37"/>
  <c r="C1114" i="37"/>
  <c r="C1115" i="37"/>
  <c r="C1116" i="37"/>
  <c r="C1117" i="37"/>
  <c r="C1118" i="37"/>
  <c r="C1119" i="37"/>
  <c r="C1120" i="37"/>
  <c r="C1121" i="37"/>
  <c r="C1122" i="37"/>
  <c r="C1123" i="37"/>
  <c r="C1124" i="37"/>
  <c r="C1125" i="37"/>
  <c r="C1126" i="37"/>
  <c r="C1127" i="37"/>
  <c r="C1128" i="37"/>
  <c r="C1129" i="37"/>
  <c r="C1130" i="37"/>
  <c r="C1131" i="37"/>
  <c r="C1132" i="37"/>
  <c r="C1133" i="37"/>
  <c r="C1134" i="37"/>
  <c r="C1135" i="37"/>
  <c r="C1136" i="37"/>
  <c r="C1137" i="37"/>
  <c r="C1138" i="37"/>
  <c r="C1139" i="37"/>
  <c r="C1140" i="37"/>
  <c r="C1141" i="37"/>
  <c r="C1142" i="37"/>
  <c r="C1143" i="37"/>
  <c r="C1144" i="37"/>
  <c r="C1145" i="37"/>
  <c r="C1146" i="37"/>
  <c r="C1147" i="37"/>
  <c r="C1148" i="37"/>
  <c r="C1149" i="37"/>
  <c r="C1150" i="37"/>
  <c r="C1151" i="37"/>
  <c r="C1152" i="37"/>
  <c r="C1153" i="37"/>
  <c r="C1154" i="37"/>
  <c r="C1155" i="37"/>
  <c r="C1156" i="37"/>
  <c r="C1157" i="37"/>
  <c r="C1158" i="37"/>
  <c r="C1159" i="37"/>
  <c r="C1160" i="37"/>
  <c r="C1161" i="37"/>
  <c r="C1162" i="37"/>
  <c r="C1163" i="37"/>
  <c r="C1164" i="37"/>
  <c r="C1165" i="37"/>
  <c r="C1166" i="37"/>
  <c r="C1167" i="37"/>
  <c r="C1168" i="37"/>
  <c r="C1169" i="37"/>
  <c r="C1170" i="37"/>
  <c r="C1171" i="37"/>
  <c r="C1172" i="37"/>
  <c r="C1173" i="37"/>
  <c r="C1174" i="37"/>
  <c r="C1175" i="37"/>
  <c r="C1176" i="37"/>
  <c r="C1177" i="37"/>
  <c r="C1178" i="37"/>
  <c r="C1179" i="37"/>
  <c r="C1180" i="37"/>
  <c r="C1181" i="37"/>
  <c r="C1182" i="37"/>
  <c r="C1183" i="37"/>
  <c r="C1184" i="37"/>
  <c r="C1185" i="37"/>
  <c r="C1186" i="37"/>
  <c r="C1187" i="37"/>
  <c r="C1188" i="37"/>
  <c r="C1189" i="37"/>
  <c r="C1190" i="37"/>
  <c r="C1191" i="37"/>
  <c r="C1192" i="37"/>
  <c r="C1193" i="37"/>
  <c r="C1194" i="37"/>
  <c r="C1195" i="37"/>
  <c r="C1196" i="37"/>
  <c r="C1197" i="37"/>
  <c r="C1198" i="37"/>
  <c r="C1199" i="37"/>
  <c r="C1200" i="37"/>
  <c r="C1201" i="37"/>
  <c r="C1202" i="37"/>
  <c r="C1203" i="37"/>
  <c r="C1204" i="37"/>
  <c r="C1205" i="37"/>
  <c r="C1206" i="37"/>
  <c r="C1207" i="37"/>
  <c r="C1208" i="37"/>
  <c r="C1209" i="37"/>
  <c r="C1210" i="37"/>
  <c r="C1211" i="37"/>
  <c r="C1212" i="37"/>
  <c r="C1213" i="37"/>
  <c r="C1214" i="37"/>
  <c r="C1215" i="37"/>
  <c r="C1216" i="37"/>
  <c r="C1217" i="37"/>
  <c r="C1218" i="37"/>
  <c r="C1219" i="37"/>
  <c r="C1220" i="37"/>
  <c r="C1221" i="37"/>
  <c r="C1222" i="37"/>
  <c r="C1223" i="37"/>
  <c r="C1224" i="37"/>
  <c r="C1225" i="37"/>
  <c r="C1226" i="37"/>
  <c r="C1227" i="37"/>
  <c r="C1228" i="37"/>
  <c r="C1229" i="37"/>
  <c r="C1230" i="37"/>
  <c r="C9" i="37"/>
  <c r="G1241" i="37"/>
  <c r="G1231" i="37"/>
  <c r="G1242" i="37" s="1"/>
  <c r="G1176" i="37"/>
  <c r="G1166" i="37"/>
  <c r="G1163" i="37"/>
  <c r="G1184" i="37" s="1"/>
  <c r="G1194" i="37" s="1"/>
  <c r="G1200" i="37" s="1"/>
  <c r="G1203" i="37" s="1"/>
  <c r="G1209" i="37" s="1"/>
  <c r="G1153" i="37"/>
  <c r="G1152" i="37"/>
  <c r="G1151" i="37"/>
  <c r="G1149" i="37"/>
  <c r="G1145" i="37"/>
  <c r="G1144" i="37"/>
  <c r="G1150" i="37" s="1"/>
  <c r="G1143" i="37"/>
  <c r="G1128" i="37"/>
  <c r="G1119" i="37"/>
  <c r="G1116" i="37"/>
  <c r="G1105" i="37"/>
  <c r="G1104" i="37"/>
  <c r="G1127" i="37" s="1"/>
  <c r="G1099" i="37"/>
  <c r="G1082" i="37"/>
  <c r="G1095" i="37" s="1"/>
  <c r="G1078" i="37"/>
  <c r="G1062" i="37"/>
  <c r="G1046" i="37"/>
  <c r="G1063" i="37" s="1"/>
  <c r="G1042" i="37"/>
  <c r="G1039" i="37"/>
  <c r="G1028" i="37"/>
  <c r="G1025" i="37"/>
  <c r="G1022" i="37"/>
  <c r="G1021" i="37"/>
  <c r="G1024" i="37" s="1"/>
  <c r="G1027" i="37" s="1"/>
  <c r="G1019" i="37"/>
  <c r="G1018" i="37"/>
  <c r="G1017" i="37"/>
  <c r="G971" i="37"/>
  <c r="G979" i="37" s="1"/>
  <c r="G964" i="37"/>
  <c r="G963" i="37"/>
  <c r="G973" i="37" s="1"/>
  <c r="G980" i="37" s="1"/>
  <c r="G961" i="37"/>
  <c r="G969" i="37" s="1"/>
  <c r="G794" i="37"/>
  <c r="G799" i="37" s="1"/>
  <c r="G804" i="37" s="1"/>
  <c r="G760" i="37"/>
  <c r="G764" i="37" s="1"/>
  <c r="G640" i="37"/>
  <c r="G545" i="37"/>
  <c r="G595" i="37" s="1"/>
  <c r="G600" i="37" s="1"/>
  <c r="G604" i="37" s="1"/>
  <c r="G609" i="37" s="1"/>
  <c r="G615" i="37" s="1"/>
  <c r="G537" i="37"/>
  <c r="G543" i="37" s="1"/>
  <c r="G548" i="37" s="1"/>
  <c r="G553" i="37" s="1"/>
  <c r="G558" i="37" s="1"/>
  <c r="G562" i="37" s="1"/>
  <c r="G567" i="37" s="1"/>
  <c r="G573" i="37" s="1"/>
  <c r="G526" i="37"/>
  <c r="G532" i="37" s="1"/>
  <c r="G524" i="37"/>
  <c r="G530" i="37" s="1"/>
  <c r="G535" i="37" s="1"/>
  <c r="G542" i="37" s="1"/>
  <c r="G547" i="37" s="1"/>
  <c r="G552" i="37" s="1"/>
  <c r="G557" i="37" s="1"/>
  <c r="G502" i="37"/>
  <c r="G505" i="37" s="1"/>
  <c r="G510" i="37" s="1"/>
  <c r="G483" i="37"/>
  <c r="G481" i="37"/>
  <c r="G490" i="37" s="1"/>
  <c r="G500" i="37" s="1"/>
  <c r="G503" i="37" s="1"/>
  <c r="G508" i="37" s="1"/>
  <c r="G511" i="37" s="1"/>
  <c r="G521" i="37" s="1"/>
  <c r="G528" i="37" s="1"/>
  <c r="G533" i="37" s="1"/>
  <c r="G539" i="37" s="1"/>
  <c r="G550" i="37" s="1"/>
  <c r="G555" i="37" s="1"/>
  <c r="G560" i="37" s="1"/>
  <c r="G478" i="37"/>
  <c r="G482" i="37" s="1"/>
  <c r="G475" i="37"/>
  <c r="G470" i="37"/>
  <c r="G469" i="37"/>
  <c r="G466" i="37"/>
  <c r="G456" i="37"/>
  <c r="G455" i="37"/>
  <c r="G448" i="37"/>
  <c r="G460" i="37" s="1"/>
  <c r="G495" i="37" s="1"/>
  <c r="G446" i="37"/>
  <c r="G445" i="37"/>
  <c r="G449" i="37" s="1"/>
  <c r="G453" i="37" s="1"/>
  <c r="G457" i="37" s="1"/>
  <c r="G459" i="37" s="1"/>
  <c r="G480" i="37" s="1"/>
  <c r="G484" i="37" s="1"/>
  <c r="G491" i="37" s="1"/>
  <c r="G444" i="37"/>
  <c r="G682" i="37" s="1"/>
  <c r="G433" i="37"/>
  <c r="G422" i="37"/>
  <c r="G464" i="37" s="1"/>
  <c r="G1055" i="37" s="1"/>
  <c r="G1064" i="37" s="1"/>
  <c r="G1167" i="37" s="1"/>
  <c r="G1173" i="37" s="1"/>
  <c r="G361" i="37"/>
  <c r="G256" i="37"/>
  <c r="G259" i="37" s="1"/>
  <c r="G251" i="37"/>
  <c r="G255" i="37" s="1"/>
  <c r="G245" i="37"/>
  <c r="G260" i="37" s="1"/>
  <c r="G244" i="37"/>
  <c r="G252" i="37" s="1"/>
  <c r="G248" i="37" s="1"/>
  <c r="G238" i="37"/>
  <c r="G236" i="37"/>
  <c r="G225" i="37"/>
  <c r="G239" i="37" s="1"/>
  <c r="G219" i="37"/>
  <c r="G211" i="37"/>
  <c r="G215" i="37" s="1"/>
  <c r="G209" i="37"/>
  <c r="G220" i="37" s="1"/>
  <c r="G207" i="37"/>
  <c r="G205" i="37"/>
  <c r="G201" i="37"/>
  <c r="G229" i="37" s="1"/>
  <c r="G197" i="37"/>
  <c r="G186" i="37"/>
  <c r="G185" i="37"/>
  <c r="G181" i="37"/>
  <c r="G184" i="37" s="1"/>
  <c r="G162" i="37"/>
  <c r="G153" i="37"/>
  <c r="G150" i="37"/>
  <c r="G149" i="37"/>
  <c r="G146" i="37"/>
  <c r="G142" i="37"/>
  <c r="G386" i="37" s="1"/>
  <c r="G140" i="37"/>
  <c r="G395" i="37" s="1"/>
  <c r="G139" i="37"/>
  <c r="G138" i="37"/>
  <c r="G136" i="37"/>
  <c r="G135" i="37"/>
  <c r="G131" i="37"/>
  <c r="G129" i="37"/>
  <c r="G128" i="37"/>
  <c r="G127" i="37"/>
  <c r="G124" i="37"/>
  <c r="G117" i="37"/>
  <c r="G115" i="37"/>
  <c r="G147" i="37" s="1"/>
  <c r="G160" i="37" s="1"/>
  <c r="G110" i="37"/>
  <c r="G113" i="37" s="1"/>
  <c r="G122" i="37" s="1"/>
  <c r="G123" i="37" s="1"/>
  <c r="G125" i="37" s="1"/>
  <c r="G133" i="37" s="1"/>
  <c r="G137" i="37" s="1"/>
  <c r="G141" i="37" s="1"/>
  <c r="G145" i="37" s="1"/>
  <c r="G151" i="37" s="1"/>
  <c r="G109" i="37"/>
  <c r="G108" i="37"/>
  <c r="G101" i="37"/>
  <c r="G106" i="37" s="1"/>
  <c r="G118" i="37" s="1"/>
  <c r="G99" i="37"/>
  <c r="G130" i="37" s="1"/>
  <c r="G97" i="37"/>
  <c r="G230" i="37" s="1"/>
  <c r="G227" i="37" s="1"/>
  <c r="G96" i="37"/>
  <c r="G95" i="37"/>
  <c r="G93" i="37"/>
  <c r="G92" i="37"/>
  <c r="G121" i="37" s="1"/>
  <c r="G154" i="37" s="1"/>
  <c r="G159" i="37" s="1"/>
  <c r="G164" i="37" s="1"/>
  <c r="G171" i="37" s="1"/>
  <c r="G179" i="37" s="1"/>
  <c r="G189" i="37" s="1"/>
  <c r="G91" i="37"/>
  <c r="G87" i="37"/>
  <c r="G85" i="37"/>
  <c r="G132" i="37" s="1"/>
  <c r="G78" i="37"/>
  <c r="G71" i="37"/>
  <c r="G70" i="37"/>
  <c r="G56" i="37"/>
  <c r="G55" i="37"/>
  <c r="G53" i="37"/>
  <c r="G52" i="37"/>
  <c r="G16" i="37"/>
  <c r="H3711" i="32" l="1"/>
  <c r="E390" i="39" s="1"/>
  <c r="H1357" i="32"/>
  <c r="H1358" i="32" s="1"/>
  <c r="H1359" i="32" s="1"/>
  <c r="H1335" i="32"/>
  <c r="H1336" i="32" s="1"/>
  <c r="H1337" i="32" s="1"/>
  <c r="H1313" i="32"/>
  <c r="H1314" i="32" s="1"/>
  <c r="H1315" i="32" s="1"/>
  <c r="H1302" i="32"/>
  <c r="H1303" i="32" s="1"/>
  <c r="H1304" i="32" s="1"/>
  <c r="H1291" i="32"/>
  <c r="H1292" i="32" s="1"/>
  <c r="H1293" i="32" s="1"/>
  <c r="H594" i="32"/>
  <c r="H595" i="32" s="1"/>
  <c r="H596" i="32" s="1"/>
  <c r="H583" i="32"/>
  <c r="H584" i="32" s="1"/>
  <c r="H585" i="32" s="1"/>
  <c r="H561" i="32"/>
  <c r="H562" i="32" s="1"/>
  <c r="H563" i="32" s="1"/>
  <c r="H550" i="32"/>
  <c r="H551" i="32" s="1"/>
  <c r="H552" i="32" s="1"/>
  <c r="H539" i="32"/>
  <c r="H540" i="32" s="1"/>
  <c r="H541" i="32" s="1"/>
  <c r="H517" i="32"/>
  <c r="H518" i="32" s="1"/>
  <c r="H519" i="32" s="1"/>
  <c r="H418" i="32"/>
  <c r="H419" i="32" s="1"/>
  <c r="H420" i="32" s="1"/>
  <c r="H429" i="32"/>
  <c r="H430" i="32" s="1"/>
  <c r="H431" i="32" s="1"/>
  <c r="H407" i="32"/>
  <c r="H408" i="32" s="1"/>
  <c r="H409" i="32" s="1"/>
  <c r="G624" i="37"/>
  <c r="G630" i="37" s="1"/>
  <c r="G635" i="37" s="1"/>
  <c r="G688" i="37" s="1"/>
  <c r="G693" i="37" s="1"/>
  <c r="G698" i="37" s="1"/>
  <c r="G703" i="37" s="1"/>
  <c r="G707" i="37" s="1"/>
  <c r="G713" i="37" s="1"/>
  <c r="G619" i="37"/>
  <c r="G158" i="37"/>
  <c r="G163" i="37" s="1"/>
  <c r="G170" i="37" s="1"/>
  <c r="G178" i="37" s="1"/>
  <c r="G190" i="37" s="1"/>
  <c r="G196" i="37" s="1"/>
  <c r="G155" i="37"/>
  <c r="G499" i="37"/>
  <c r="G494" i="37"/>
  <c r="G504" i="37" s="1"/>
  <c r="G507" i="37" s="1"/>
  <c r="G512" i="37" s="1"/>
  <c r="G522" i="37" s="1"/>
  <c r="G527" i="37" s="1"/>
  <c r="G534" i="37" s="1"/>
  <c r="G570" i="37"/>
  <c r="G575" i="37" s="1"/>
  <c r="G565" i="37"/>
  <c r="G774" i="37"/>
  <c r="G194" i="37"/>
  <c r="G208" i="37" s="1"/>
  <c r="G235" i="37" s="1"/>
  <c r="G228" i="37" s="1"/>
  <c r="G394" i="37" s="1"/>
  <c r="G435" i="37" s="1"/>
  <c r="G476" i="37" s="1"/>
  <c r="G169" i="37"/>
  <c r="G174" i="37" s="1"/>
  <c r="G188" i="37" s="1"/>
  <c r="G191" i="37" s="1"/>
  <c r="G465" i="37"/>
  <c r="G472" i="37" s="1"/>
  <c r="G265" i="37"/>
  <c r="G268" i="37"/>
  <c r="G271" i="37" s="1"/>
  <c r="G273" i="37" s="1"/>
  <c r="G275" i="37" s="1"/>
  <c r="G277" i="37" s="1"/>
  <c r="G262" i="37"/>
  <c r="G566" i="37"/>
  <c r="G561" i="37"/>
  <c r="G572" i="37" s="1"/>
  <c r="G577" i="37" s="1"/>
  <c r="G582" i="37" s="1"/>
  <c r="G583" i="37"/>
  <c r="G578" i="37"/>
  <c r="G102" i="37"/>
  <c r="G1120" i="37"/>
  <c r="G1161" i="37" s="1"/>
  <c r="G1164" i="37" s="1"/>
  <c r="G1185" i="37" s="1"/>
  <c r="G1198" i="37" s="1"/>
  <c r="G1048" i="37"/>
  <c r="G1061" i="37" s="1"/>
  <c r="G176" i="37"/>
  <c r="G193" i="37" s="1"/>
  <c r="G266" i="37"/>
  <c r="G263" i="37"/>
  <c r="G269" i="37" s="1"/>
  <c r="G280" i="37" s="1"/>
  <c r="G485" i="37"/>
  <c r="G982" i="37"/>
  <c r="G1030" i="37" s="1"/>
  <c r="G1033" i="37" s="1"/>
  <c r="G975" i="37"/>
  <c r="G1101" i="37"/>
  <c r="G1107" i="37" s="1"/>
  <c r="G1111" i="37" s="1"/>
  <c r="G1085" i="37"/>
  <c r="G1089" i="37" s="1"/>
  <c r="G144" i="37"/>
  <c r="G309" i="37"/>
  <c r="G519" i="37"/>
  <c r="G525" i="37" s="1"/>
  <c r="G531" i="37" s="1"/>
  <c r="G536" i="37" s="1"/>
  <c r="G492" i="37"/>
  <c r="G592" i="37" l="1"/>
  <c r="G588" i="37"/>
  <c r="G597" i="37" s="1"/>
  <c r="G603" i="37" s="1"/>
  <c r="G608" i="37" s="1"/>
  <c r="G285" i="37"/>
  <c r="G279" i="37"/>
  <c r="G282" i="37" s="1"/>
  <c r="G544" i="37"/>
  <c r="G554" i="37" s="1"/>
  <c r="G559" i="37" s="1"/>
  <c r="G540" i="37"/>
  <c r="G549" i="37" s="1"/>
  <c r="G1040" i="37"/>
  <c r="G1044" i="37" s="1"/>
  <c r="G1050" i="37" s="1"/>
  <c r="G1053" i="37" s="1"/>
  <c r="G1067" i="37" s="1"/>
  <c r="G1114" i="37" s="1"/>
  <c r="G1122" i="37" s="1"/>
  <c r="G1125" i="37" s="1"/>
  <c r="G1036" i="37"/>
  <c r="G286" i="37"/>
  <c r="G283" i="37"/>
  <c r="G289" i="37" s="1"/>
  <c r="G591" i="37"/>
  <c r="G587" i="37"/>
  <c r="G585" i="37"/>
  <c r="G590" i="37" s="1"/>
  <c r="G580" i="37"/>
  <c r="G638" i="37"/>
  <c r="G204" i="37"/>
  <c r="G200" i="37"/>
  <c r="G715" i="37"/>
  <c r="G722" i="37"/>
  <c r="G234" i="37" l="1"/>
  <c r="G951" i="37" s="1"/>
  <c r="G210" i="37"/>
  <c r="G253" i="37" s="1"/>
  <c r="G296" i="37"/>
  <c r="G292" i="37"/>
  <c r="G617" i="37"/>
  <c r="G612" i="37"/>
  <c r="G622" i="37" s="1"/>
  <c r="G628" i="37" s="1"/>
  <c r="G632" i="37" s="1"/>
  <c r="G645" i="37" s="1"/>
  <c r="G733" i="37"/>
  <c r="G728" i="37"/>
  <c r="G738" i="37" s="1"/>
  <c r="G743" i="37" s="1"/>
  <c r="G647" i="37"/>
  <c r="G642" i="37"/>
  <c r="G601" i="37"/>
  <c r="G606" i="37" s="1"/>
  <c r="G596" i="37"/>
  <c r="G569" i="37"/>
  <c r="G574" i="37" s="1"/>
  <c r="G564" i="37"/>
  <c r="G290" i="37"/>
  <c r="G293" i="37" s="1"/>
  <c r="G295" i="37"/>
  <c r="H5" i="34"/>
  <c r="E3816" i="32"/>
  <c r="E3814" i="32"/>
  <c r="E3813" i="32"/>
  <c r="E3667" i="32"/>
  <c r="E3630" i="32"/>
  <c r="E3650" i="32" s="1"/>
  <c r="E3623" i="32"/>
  <c r="E3643" i="32" s="1"/>
  <c r="E3619" i="32"/>
  <c r="E3639" i="32" s="1"/>
  <c r="E3618" i="32"/>
  <c r="E3638" i="32" s="1"/>
  <c r="E3609" i="32"/>
  <c r="E3600" i="32"/>
  <c r="E3620" i="32" s="1"/>
  <c r="E3640" i="32" s="1"/>
  <c r="E3604" i="32"/>
  <c r="E3610" i="32"/>
  <c r="E3608" i="32"/>
  <c r="E3628" i="32" s="1"/>
  <c r="E3648" i="32" s="1"/>
  <c r="E3607" i="32"/>
  <c r="E3627" i="32" s="1"/>
  <c r="E3647" i="32" s="1"/>
  <c r="E3606" i="32"/>
  <c r="E3605" i="32"/>
  <c r="E3159" i="32"/>
  <c r="E3158" i="32"/>
  <c r="E3157" i="32"/>
  <c r="E3155" i="32"/>
  <c r="E3154" i="32"/>
  <c r="E1666" i="32"/>
  <c r="E1021" i="32"/>
  <c r="E1008" i="32"/>
  <c r="E1007" i="32"/>
  <c r="E1006" i="32"/>
  <c r="E1005" i="32"/>
  <c r="E1004" i="32"/>
  <c r="E1003" i="32"/>
  <c r="E1002" i="32"/>
  <c r="E896" i="32"/>
  <c r="E861" i="32"/>
  <c r="E697" i="32"/>
  <c r="E696" i="32"/>
  <c r="B82" i="39"/>
  <c r="E371" i="32"/>
  <c r="G371" i="32" s="1"/>
  <c r="E370" i="32"/>
  <c r="G370" i="32" s="1"/>
  <c r="E369" i="32"/>
  <c r="G369" i="32" s="1"/>
  <c r="E368" i="32"/>
  <c r="G368" i="32" s="1"/>
  <c r="E367" i="32"/>
  <c r="G367" i="32" s="1"/>
  <c r="E366" i="32"/>
  <c r="G366" i="32" s="1"/>
  <c r="E365" i="32"/>
  <c r="G365" i="32" s="1"/>
  <c r="G337" i="32"/>
  <c r="G338" i="32"/>
  <c r="E334" i="32"/>
  <c r="G334" i="32" s="1"/>
  <c r="G332" i="32"/>
  <c r="G316" i="32"/>
  <c r="E318" i="32"/>
  <c r="G318" i="32" s="1"/>
  <c r="G322" i="32"/>
  <c r="G321" i="32"/>
  <c r="E284" i="32"/>
  <c r="E275" i="32"/>
  <c r="E274" i="32"/>
  <c r="E273" i="32"/>
  <c r="E139" i="32"/>
  <c r="G139" i="32" s="1"/>
  <c r="E140" i="32"/>
  <c r="E138" i="32"/>
  <c r="G138" i="32" s="1"/>
  <c r="E137" i="32"/>
  <c r="G137" i="32" s="1"/>
  <c r="E136" i="32"/>
  <c r="G136" i="32" s="1"/>
  <c r="E135" i="32"/>
  <c r="G135" i="32" s="1"/>
  <c r="E134" i="32"/>
  <c r="G134" i="32" s="1"/>
  <c r="E133" i="32"/>
  <c r="G133" i="32" s="1"/>
  <c r="E132" i="32"/>
  <c r="G132" i="32" s="1"/>
  <c r="G140" i="32"/>
  <c r="B131" i="32"/>
  <c r="B22" i="39" s="1"/>
  <c r="G298" i="37" l="1"/>
  <c r="G301" i="37"/>
  <c r="G304" i="37" s="1"/>
  <c r="G307" i="37" s="1"/>
  <c r="G810" i="37"/>
  <c r="G815" i="37" s="1"/>
  <c r="G782" i="37"/>
  <c r="G784" i="37" s="1"/>
  <c r="G654" i="37"/>
  <c r="G659" i="37" s="1"/>
  <c r="G664" i="37" s="1"/>
  <c r="G669" i="37" s="1"/>
  <c r="G674" i="37" s="1"/>
  <c r="G679" i="37" s="1"/>
  <c r="G686" i="37" s="1"/>
  <c r="G690" i="37" s="1"/>
  <c r="G695" i="37" s="1"/>
  <c r="G700" i="37" s="1"/>
  <c r="G705" i="37" s="1"/>
  <c r="G710" i="37" s="1"/>
  <c r="G649" i="37"/>
  <c r="G308" i="37"/>
  <c r="G324" i="37" s="1"/>
  <c r="G257" i="37"/>
  <c r="G249" i="37"/>
  <c r="G584" i="37"/>
  <c r="G589" i="37" s="1"/>
  <c r="G579" i="37"/>
  <c r="G616" i="37"/>
  <c r="G611" i="37"/>
  <c r="G621" i="37" s="1"/>
  <c r="G748" i="37"/>
  <c r="G753" i="37" s="1"/>
  <c r="G758" i="37" s="1"/>
  <c r="G652" i="37"/>
  <c r="G657" i="37" s="1"/>
  <c r="G662" i="37" s="1"/>
  <c r="G667" i="37" s="1"/>
  <c r="G677" i="37" s="1"/>
  <c r="G302" i="37"/>
  <c r="G305" i="37" s="1"/>
  <c r="G299" i="37"/>
  <c r="G960" i="37"/>
  <c r="G968" i="37" s="1"/>
  <c r="G929" i="37"/>
  <c r="G938" i="37"/>
  <c r="H373" i="32"/>
  <c r="H372" i="32"/>
  <c r="H143" i="32"/>
  <c r="E142" i="32"/>
  <c r="G142" i="32" s="1"/>
  <c r="G978" i="37" l="1"/>
  <c r="G990" i="37" s="1"/>
  <c r="G1031" i="37" s="1"/>
  <c r="G974" i="37"/>
  <c r="G981" i="37" s="1"/>
  <c r="G311" i="37"/>
  <c r="G315" i="37"/>
  <c r="G318" i="37" s="1"/>
  <c r="G861" i="37"/>
  <c r="G865" i="37" s="1"/>
  <c r="G871" i="37" s="1"/>
  <c r="G762" i="37"/>
  <c r="G766" i="37" s="1"/>
  <c r="G599" i="37"/>
  <c r="G605" i="37" s="1"/>
  <c r="G610" i="37" s="1"/>
  <c r="G594" i="37"/>
  <c r="G314" i="37"/>
  <c r="G317" i="37" s="1"/>
  <c r="G312" i="37"/>
  <c r="G631" i="37"/>
  <c r="G646" i="37" s="1"/>
  <c r="G626" i="37"/>
  <c r="G356" i="37"/>
  <c r="G333" i="37"/>
  <c r="G721" i="37"/>
  <c r="G731" i="37" s="1"/>
  <c r="G717" i="37"/>
  <c r="G726" i="37" s="1"/>
  <c r="G736" i="37" s="1"/>
  <c r="G825" i="37"/>
  <c r="G820" i="37"/>
  <c r="E335" i="32"/>
  <c r="G335" i="32" s="1"/>
  <c r="E319" i="32"/>
  <c r="G319" i="32" s="1"/>
  <c r="F390" i="39"/>
  <c r="H374" i="32"/>
  <c r="H375" i="32" s="1"/>
  <c r="H15" i="43"/>
  <c r="K15" i="43" s="1"/>
  <c r="G15" i="43"/>
  <c r="J15" i="43" s="1"/>
  <c r="H14" i="43"/>
  <c r="K14" i="43" s="1"/>
  <c r="G14" i="43"/>
  <c r="J14" i="43" s="1"/>
  <c r="H13" i="43"/>
  <c r="K13" i="43" s="1"/>
  <c r="G13" i="43"/>
  <c r="J13" i="43" s="1"/>
  <c r="H12" i="43"/>
  <c r="K12" i="43" s="1"/>
  <c r="G12" i="43"/>
  <c r="J12" i="43" s="1"/>
  <c r="H11" i="43"/>
  <c r="K11" i="43" s="1"/>
  <c r="M11" i="43" s="1"/>
  <c r="M12" i="43" s="1"/>
  <c r="M13" i="43" s="1"/>
  <c r="M14" i="43" s="1"/>
  <c r="M15" i="43" s="1"/>
  <c r="M16" i="43" s="1"/>
  <c r="M18" i="43" s="1"/>
  <c r="F4" i="43" s="1"/>
  <c r="G11" i="43"/>
  <c r="J11" i="43" s="1"/>
  <c r="L11" i="43" s="1"/>
  <c r="L12" i="43" s="1"/>
  <c r="L13" i="43" s="1"/>
  <c r="L14" i="43" s="1"/>
  <c r="L15" i="43" s="1"/>
  <c r="L16" i="43" s="1"/>
  <c r="L18" i="43" s="1"/>
  <c r="F3" i="43" s="1"/>
  <c r="G746" i="37" l="1"/>
  <c r="G751" i="37" s="1"/>
  <c r="G756" i="37" s="1"/>
  <c r="G788" i="37" s="1"/>
  <c r="G792" i="37" s="1"/>
  <c r="G798" i="37" s="1"/>
  <c r="G803" i="37" s="1"/>
  <c r="G808" i="37" s="1"/>
  <c r="G813" i="37" s="1"/>
  <c r="G741" i="37"/>
  <c r="G327" i="37"/>
  <c r="G330" i="37" s="1"/>
  <c r="G335" i="37" s="1"/>
  <c r="G321" i="37"/>
  <c r="G830" i="37"/>
  <c r="G834" i="37"/>
  <c r="G840" i="37" s="1"/>
  <c r="G846" i="37" s="1"/>
  <c r="G851" i="37" s="1"/>
  <c r="G372" i="37"/>
  <c r="G462" i="37"/>
  <c r="G477" i="37" s="1"/>
  <c r="G779" i="37" s="1"/>
  <c r="G655" i="37"/>
  <c r="G650" i="37"/>
  <c r="G326" i="37"/>
  <c r="G329" i="37" s="1"/>
  <c r="G332" i="37" s="1"/>
  <c r="G336" i="37" s="1"/>
  <c r="G339" i="37" s="1"/>
  <c r="G343" i="37" s="1"/>
  <c r="G347" i="37" s="1"/>
  <c r="G350" i="37" s="1"/>
  <c r="G357" i="37" s="1"/>
  <c r="G320" i="37"/>
  <c r="G323" i="37" s="1"/>
  <c r="G620" i="37"/>
  <c r="G614" i="37"/>
  <c r="G625" i="37" s="1"/>
  <c r="G629" i="37" s="1"/>
  <c r="G634" i="37" s="1"/>
  <c r="G639" i="37" s="1"/>
  <c r="G915" i="37"/>
  <c r="G888" i="37"/>
  <c r="G1043" i="37"/>
  <c r="G1034" i="37"/>
  <c r="E862" i="32"/>
  <c r="E340" i="32"/>
  <c r="G340" i="32" s="1"/>
  <c r="E324" i="32"/>
  <c r="G324" i="32" s="1"/>
  <c r="E336" i="32"/>
  <c r="G336" i="32" s="1"/>
  <c r="H341" i="32" s="1"/>
  <c r="E320" i="32"/>
  <c r="G320" i="32" s="1"/>
  <c r="H325" i="32" s="1"/>
  <c r="H376" i="32"/>
  <c r="F24" i="43"/>
  <c r="F23" i="43"/>
  <c r="G894" i="37" l="1"/>
  <c r="G891" i="37"/>
  <c r="G648" i="37"/>
  <c r="G643" i="37"/>
  <c r="G876" i="37"/>
  <c r="G881" i="37" s="1"/>
  <c r="G855" i="37"/>
  <c r="G1049" i="37"/>
  <c r="G1052" i="37" s="1"/>
  <c r="G1066" i="37" s="1"/>
  <c r="G1058" i="37"/>
  <c r="G1121" i="37" s="1"/>
  <c r="G1124" i="37" s="1"/>
  <c r="G1134" i="37" s="1"/>
  <c r="G1156" i="37" s="1"/>
  <c r="G1162" i="37" s="1"/>
  <c r="G1169" i="37" s="1"/>
  <c r="G1183" i="37" s="1"/>
  <c r="G1195" i="37" s="1"/>
  <c r="G1199" i="37" s="1"/>
  <c r="G1204" i="37" s="1"/>
  <c r="G1210" i="37" s="1"/>
  <c r="G1213" i="37" s="1"/>
  <c r="G954" i="37"/>
  <c r="G920" i="37"/>
  <c r="G925" i="37" s="1"/>
  <c r="G362" i="37"/>
  <c r="G360" i="37"/>
  <c r="G670" i="37"/>
  <c r="G675" i="37" s="1"/>
  <c r="G680" i="37" s="1"/>
  <c r="G684" i="37" s="1"/>
  <c r="G689" i="37" s="1"/>
  <c r="G694" i="37" s="1"/>
  <c r="G699" i="37" s="1"/>
  <c r="G704" i="37" s="1"/>
  <c r="G709" i="37" s="1"/>
  <c r="G716" i="37" s="1"/>
  <c r="G665" i="37"/>
  <c r="G661" i="37"/>
  <c r="G775" i="37"/>
  <c r="G429" i="37"/>
  <c r="G436" i="37" s="1"/>
  <c r="G377" i="37"/>
  <c r="G393" i="37" s="1"/>
  <c r="G342" i="37"/>
  <c r="G346" i="37" s="1"/>
  <c r="G349" i="37" s="1"/>
  <c r="G359" i="37" s="1"/>
  <c r="G363" i="37" s="1"/>
  <c r="G338" i="37"/>
  <c r="G823" i="37"/>
  <c r="G818" i="37"/>
  <c r="G827" i="37" s="1"/>
  <c r="G832" i="37" s="1"/>
  <c r="G837" i="37" s="1"/>
  <c r="G843" i="37" s="1"/>
  <c r="G848" i="37" s="1"/>
  <c r="G853" i="37" s="1"/>
  <c r="G858" i="37" s="1"/>
  <c r="G864" i="37" s="1"/>
  <c r="D243" i="39"/>
  <c r="D242" i="39"/>
  <c r="D241" i="39"/>
  <c r="D240" i="39"/>
  <c r="D239" i="39"/>
  <c r="D238" i="39"/>
  <c r="D237" i="39"/>
  <c r="D236" i="39"/>
  <c r="D235" i="39"/>
  <c r="D234" i="39"/>
  <c r="D233" i="39"/>
  <c r="D232" i="39"/>
  <c r="D231" i="39"/>
  <c r="D230" i="39"/>
  <c r="D229" i="39"/>
  <c r="D228" i="39"/>
  <c r="D227" i="39"/>
  <c r="D226" i="39"/>
  <c r="G873" i="37" l="1"/>
  <c r="G878" i="37" s="1"/>
  <c r="G884" i="37" s="1"/>
  <c r="G897" i="37" s="1"/>
  <c r="G902" i="37" s="1"/>
  <c r="G913" i="37" s="1"/>
  <c r="G917" i="37" s="1"/>
  <c r="G922" i="37" s="1"/>
  <c r="G946" i="37" s="1"/>
  <c r="G940" i="37" s="1"/>
  <c r="G869" i="37"/>
  <c r="G366" i="37"/>
  <c r="G406" i="37" s="1"/>
  <c r="G409" i="37" s="1"/>
  <c r="G412" i="37" s="1"/>
  <c r="G421" i="37" s="1"/>
  <c r="G368" i="37"/>
  <c r="G375" i="37" s="1"/>
  <c r="G381" i="37" s="1"/>
  <c r="G383" i="37" s="1"/>
  <c r="G399" i="37" s="1"/>
  <c r="G720" i="37"/>
  <c r="G730" i="37" s="1"/>
  <c r="G735" i="37" s="1"/>
  <c r="G740" i="37" s="1"/>
  <c r="G745" i="37" s="1"/>
  <c r="G750" i="37" s="1"/>
  <c r="G725" i="37"/>
  <c r="G369" i="37"/>
  <c r="G371" i="37" s="1"/>
  <c r="G365" i="37"/>
  <c r="G374" i="37" s="1"/>
  <c r="G378" i="37" s="1"/>
  <c r="G380" i="37" s="1"/>
  <c r="G384" i="37" s="1"/>
  <c r="G400" i="37" s="1"/>
  <c r="G900" i="37"/>
  <c r="G904" i="37" s="1"/>
  <c r="G911" i="37" s="1"/>
  <c r="G942" i="37" s="1"/>
  <c r="G947" i="37" s="1"/>
  <c r="G992" i="37" s="1"/>
  <c r="G995" i="37" s="1"/>
  <c r="G998" i="37" s="1"/>
  <c r="G885" i="37"/>
  <c r="G658" i="37"/>
  <c r="G663" i="37" s="1"/>
  <c r="G653" i="37"/>
  <c r="E1009" i="32"/>
  <c r="E1022" i="32" s="1"/>
  <c r="D359" i="39"/>
  <c r="D358" i="39"/>
  <c r="D357" i="39"/>
  <c r="D356" i="39"/>
  <c r="D355" i="39"/>
  <c r="D354" i="39"/>
  <c r="D353" i="39"/>
  <c r="D352" i="39"/>
  <c r="D351" i="39"/>
  <c r="D350" i="39"/>
  <c r="D349" i="39"/>
  <c r="D348" i="39"/>
  <c r="D347" i="39"/>
  <c r="D346" i="39"/>
  <c r="D345" i="39"/>
  <c r="D344" i="39"/>
  <c r="D343" i="39"/>
  <c r="D342" i="39"/>
  <c r="D341" i="39"/>
  <c r="D340" i="39"/>
  <c r="D339" i="39"/>
  <c r="D338" i="39"/>
  <c r="D337" i="39"/>
  <c r="D336" i="39"/>
  <c r="D335" i="39"/>
  <c r="D175" i="39"/>
  <c r="D37" i="39"/>
  <c r="D36" i="39"/>
  <c r="D33" i="39"/>
  <c r="D32" i="39"/>
  <c r="D31" i="39"/>
  <c r="D30" i="39"/>
  <c r="D29" i="39"/>
  <c r="D28" i="39"/>
  <c r="D27" i="39"/>
  <c r="D26" i="39"/>
  <c r="D25" i="39"/>
  <c r="D22" i="39"/>
  <c r="D21" i="39"/>
  <c r="D20" i="39"/>
  <c r="D19" i="39"/>
  <c r="D18" i="39"/>
  <c r="D17" i="39"/>
  <c r="G405" i="37" l="1"/>
  <c r="G408" i="37" s="1"/>
  <c r="G403" i="37"/>
  <c r="G673" i="37"/>
  <c r="G678" i="37" s="1"/>
  <c r="G683" i="37" s="1"/>
  <c r="G687" i="37" s="1"/>
  <c r="G692" i="37" s="1"/>
  <c r="G697" i="37" s="1"/>
  <c r="G702" i="37" s="1"/>
  <c r="G708" i="37" s="1"/>
  <c r="G712" i="37" s="1"/>
  <c r="G668" i="37"/>
  <c r="G1012" i="37"/>
  <c r="G1072" i="37" s="1"/>
  <c r="G1083" i="37" s="1"/>
  <c r="G1090" i="37" s="1"/>
  <c r="G1086" i="37" s="1"/>
  <c r="G1096" i="37" s="1"/>
  <c r="G1100" i="37" s="1"/>
  <c r="G1106" i="37" s="1"/>
  <c r="G1110" i="37" s="1"/>
  <c r="G1113" i="37" s="1"/>
  <c r="G1132" i="37" s="1"/>
  <c r="G1174" i="37" s="1"/>
  <c r="G1008" i="37"/>
  <c r="G791" i="37"/>
  <c r="G755" i="37"/>
  <c r="E339" i="32"/>
  <c r="G339" i="32" s="1"/>
  <c r="H342" i="32" s="1"/>
  <c r="H343" i="32" s="1"/>
  <c r="H344" i="32" s="1"/>
  <c r="H345" i="32" s="1"/>
  <c r="E52" i="39" s="1"/>
  <c r="E323" i="32"/>
  <c r="G323" i="32" s="1"/>
  <c r="H326" i="32" s="1"/>
  <c r="H327" i="32" s="1"/>
  <c r="H328" i="32" s="1"/>
  <c r="H329" i="32" s="1"/>
  <c r="G34" i="34"/>
  <c r="G787" i="37" l="1"/>
  <c r="G776" i="37" s="1"/>
  <c r="G797" i="37"/>
  <c r="G802" i="37" s="1"/>
  <c r="G807" i="37" s="1"/>
  <c r="G811" i="37" s="1"/>
  <c r="G723" i="37"/>
  <c r="G714" i="37"/>
  <c r="G411" i="37"/>
  <c r="G414" i="37" s="1"/>
  <c r="G420" i="37"/>
  <c r="D144" i="17"/>
  <c r="D145" i="17"/>
  <c r="G822" i="37" l="1"/>
  <c r="G826" i="37" s="1"/>
  <c r="G831" i="37" s="1"/>
  <c r="G836" i="37" s="1"/>
  <c r="G841" i="37" s="1"/>
  <c r="G847" i="37" s="1"/>
  <c r="G852" i="37" s="1"/>
  <c r="G857" i="37" s="1"/>
  <c r="G862" i="37" s="1"/>
  <c r="G817" i="37"/>
  <c r="G732" i="37"/>
  <c r="G727" i="37"/>
  <c r="G737" i="37" s="1"/>
  <c r="E307" i="32"/>
  <c r="E293" i="32"/>
  <c r="G284" i="32"/>
  <c r="H285" i="32" s="1"/>
  <c r="H287" i="32" s="1"/>
  <c r="G747" i="37" l="1"/>
  <c r="G752" i="37" s="1"/>
  <c r="G757" i="37" s="1"/>
  <c r="G761" i="37" s="1"/>
  <c r="G765" i="37" s="1"/>
  <c r="G778" i="37" s="1"/>
  <c r="G742" i="37"/>
  <c r="G872" i="37"/>
  <c r="G877" i="37" s="1"/>
  <c r="G882" i="37" s="1"/>
  <c r="G896" i="37" s="1"/>
  <c r="G901" i="37" s="1"/>
  <c r="G914" i="37" s="1"/>
  <c r="G919" i="37" s="1"/>
  <c r="G924" i="37" s="1"/>
  <c r="G939" i="37" s="1"/>
  <c r="G944" i="37" s="1"/>
  <c r="G868" i="37"/>
  <c r="E141" i="32"/>
  <c r="G141" i="32" s="1"/>
  <c r="H144" i="32" s="1"/>
  <c r="E1241" i="37"/>
  <c r="H288" i="32"/>
  <c r="H289" i="32" s="1"/>
  <c r="E46" i="39" s="1"/>
  <c r="G274" i="32"/>
  <c r="G273" i="32"/>
  <c r="E276" i="32"/>
  <c r="G276" i="32" s="1"/>
  <c r="H278" i="32" s="1"/>
  <c r="E108" i="32"/>
  <c r="G275" i="32"/>
  <c r="B79" i="40"/>
  <c r="A79" i="40"/>
  <c r="B76" i="40"/>
  <c r="B73" i="40"/>
  <c r="A76" i="40"/>
  <c r="A73" i="40"/>
  <c r="B70" i="40"/>
  <c r="A70" i="40"/>
  <c r="B67" i="40"/>
  <c r="A67" i="40"/>
  <c r="B64" i="40"/>
  <c r="B61" i="40"/>
  <c r="A64" i="40"/>
  <c r="A61" i="40"/>
  <c r="B58" i="40"/>
  <c r="B55" i="40"/>
  <c r="A58" i="40"/>
  <c r="A55" i="40"/>
  <c r="B52" i="40"/>
  <c r="B49" i="40"/>
  <c r="B46" i="40"/>
  <c r="A52" i="40"/>
  <c r="A49" i="40"/>
  <c r="A46" i="40"/>
  <c r="B43" i="40"/>
  <c r="B40" i="40"/>
  <c r="B37" i="40"/>
  <c r="A43" i="40"/>
  <c r="A40" i="40"/>
  <c r="A37" i="40"/>
  <c r="B34" i="40"/>
  <c r="B31" i="40"/>
  <c r="A34" i="40"/>
  <c r="A31" i="40"/>
  <c r="B28" i="40"/>
  <c r="B25" i="40"/>
  <c r="B22" i="40"/>
  <c r="B19" i="40"/>
  <c r="A28" i="40"/>
  <c r="A25" i="40"/>
  <c r="A22" i="40"/>
  <c r="A19" i="40"/>
  <c r="B16" i="40"/>
  <c r="A16" i="40"/>
  <c r="B13" i="40"/>
  <c r="A13" i="40"/>
  <c r="G781" i="37" l="1"/>
  <c r="G785" i="37"/>
  <c r="G790" i="37" s="1"/>
  <c r="H277" i="32"/>
  <c r="H279" i="32" s="1"/>
  <c r="D42" i="17"/>
  <c r="D402" i="39"/>
  <c r="D399" i="39"/>
  <c r="D398" i="39"/>
  <c r="D397" i="39"/>
  <c r="D396" i="39"/>
  <c r="D395" i="39"/>
  <c r="D418" i="17"/>
  <c r="D401" i="39" s="1"/>
  <c r="D417" i="17"/>
  <c r="D400" i="39" s="1"/>
  <c r="D391" i="39"/>
  <c r="D389" i="39"/>
  <c r="D388" i="39"/>
  <c r="D387" i="39"/>
  <c r="D386" i="39"/>
  <c r="D383" i="39"/>
  <c r="D382" i="39"/>
  <c r="D381" i="39"/>
  <c r="D378" i="39"/>
  <c r="D377" i="39"/>
  <c r="D376" i="39"/>
  <c r="D375" i="39"/>
  <c r="D374" i="39"/>
  <c r="D373" i="39"/>
  <c r="D372" i="39"/>
  <c r="D371" i="39"/>
  <c r="D370" i="39"/>
  <c r="D369" i="39"/>
  <c r="D368" i="39"/>
  <c r="D367" i="39"/>
  <c r="D366" i="39"/>
  <c r="D365" i="39"/>
  <c r="D364" i="39"/>
  <c r="D363" i="39"/>
  <c r="D362" i="39"/>
  <c r="D332" i="39"/>
  <c r="D331" i="39"/>
  <c r="D330" i="39"/>
  <c r="D329" i="39"/>
  <c r="D328" i="39"/>
  <c r="D327" i="39"/>
  <c r="D326" i="39"/>
  <c r="D325" i="39"/>
  <c r="D324" i="39"/>
  <c r="D323" i="39"/>
  <c r="D322" i="39"/>
  <c r="D321" i="39"/>
  <c r="D320" i="39"/>
  <c r="D319" i="39"/>
  <c r="D318" i="39"/>
  <c r="D317" i="39"/>
  <c r="D316" i="39"/>
  <c r="D315" i="39"/>
  <c r="D314" i="39"/>
  <c r="D313" i="39"/>
  <c r="D312" i="39"/>
  <c r="D311" i="39"/>
  <c r="D310" i="39"/>
  <c r="D309" i="39"/>
  <c r="D308" i="39"/>
  <c r="D307" i="39"/>
  <c r="D306" i="39"/>
  <c r="D305" i="39"/>
  <c r="D304" i="39"/>
  <c r="D303" i="39"/>
  <c r="D302" i="39"/>
  <c r="D301" i="39"/>
  <c r="D300" i="39"/>
  <c r="D299" i="39"/>
  <c r="D296" i="39"/>
  <c r="D295" i="39"/>
  <c r="D294" i="39"/>
  <c r="D293" i="39"/>
  <c r="D292" i="39"/>
  <c r="D291" i="39"/>
  <c r="D290" i="39"/>
  <c r="D289" i="39"/>
  <c r="D288" i="39"/>
  <c r="D287" i="39"/>
  <c r="D286" i="39"/>
  <c r="D285" i="39"/>
  <c r="D284" i="39"/>
  <c r="D283" i="39"/>
  <c r="D282" i="39"/>
  <c r="D281" i="39"/>
  <c r="D280" i="39"/>
  <c r="D279" i="39"/>
  <c r="D278" i="39"/>
  <c r="D277" i="39"/>
  <c r="D276" i="39"/>
  <c r="D275" i="39"/>
  <c r="D274" i="39"/>
  <c r="D273" i="39"/>
  <c r="D272" i="39"/>
  <c r="D271" i="39"/>
  <c r="D270" i="39"/>
  <c r="D269" i="39"/>
  <c r="D268" i="39"/>
  <c r="D267" i="39"/>
  <c r="D266" i="39"/>
  <c r="D265" i="39"/>
  <c r="D264" i="39"/>
  <c r="D263" i="39"/>
  <c r="D262" i="39"/>
  <c r="D261" i="39"/>
  <c r="D260" i="39"/>
  <c r="D259" i="39"/>
  <c r="D258" i="39"/>
  <c r="D257" i="39"/>
  <c r="D256" i="39"/>
  <c r="D255" i="39"/>
  <c r="D254" i="39"/>
  <c r="D253" i="39"/>
  <c r="D252" i="39"/>
  <c r="D251" i="39"/>
  <c r="D250" i="39"/>
  <c r="D249" i="39"/>
  <c r="D248" i="39"/>
  <c r="D247" i="39"/>
  <c r="G800" i="37" l="1"/>
  <c r="G805" i="37" s="1"/>
  <c r="G809" i="37" s="1"/>
  <c r="G814" i="37" s="1"/>
  <c r="G795" i="37"/>
  <c r="D45" i="39"/>
  <c r="F26" i="43"/>
  <c r="H280" i="32"/>
  <c r="H281" i="32" s="1"/>
  <c r="E45" i="39" s="1"/>
  <c r="G819" i="37" l="1"/>
  <c r="G829" i="37" s="1"/>
  <c r="G835" i="37" s="1"/>
  <c r="G839" i="37" s="1"/>
  <c r="G845" i="37" s="1"/>
  <c r="G850" i="37" s="1"/>
  <c r="G856" i="37" s="1"/>
  <c r="G860" i="37" s="1"/>
  <c r="G866" i="37" s="1"/>
  <c r="G870" i="37" s="1"/>
  <c r="G875" i="37" s="1"/>
  <c r="G880" i="37" s="1"/>
  <c r="G886" i="37" s="1"/>
  <c r="G824" i="37"/>
  <c r="F27" i="43"/>
  <c r="F28" i="43" s="1"/>
  <c r="D43" i="17" s="1"/>
  <c r="D46" i="39" s="1"/>
  <c r="F46" i="39" s="1"/>
  <c r="D44" i="17"/>
  <c r="D223" i="39"/>
  <c r="D222" i="39"/>
  <c r="D221" i="39"/>
  <c r="D220" i="39"/>
  <c r="D219" i="39"/>
  <c r="D218" i="39"/>
  <c r="D217" i="39"/>
  <c r="D216" i="39"/>
  <c r="D215" i="39"/>
  <c r="D214" i="39"/>
  <c r="D213" i="39"/>
  <c r="D212" i="39"/>
  <c r="D211" i="39"/>
  <c r="D210" i="39"/>
  <c r="D209" i="39"/>
  <c r="D208" i="39"/>
  <c r="D207" i="39"/>
  <c r="D206" i="39"/>
  <c r="D205" i="39"/>
  <c r="D204" i="39"/>
  <c r="D203" i="39"/>
  <c r="D200" i="39"/>
  <c r="D199" i="39"/>
  <c r="D198" i="39"/>
  <c r="D197" i="39"/>
  <c r="D196" i="39"/>
  <c r="D195" i="39"/>
  <c r="D194" i="39"/>
  <c r="D193" i="39"/>
  <c r="D192" i="39"/>
  <c r="D191" i="39"/>
  <c r="D190" i="39"/>
  <c r="D189" i="39"/>
  <c r="D188" i="39"/>
  <c r="D187" i="39"/>
  <c r="D186" i="39"/>
  <c r="D185" i="39"/>
  <c r="D184" i="39"/>
  <c r="D183" i="39"/>
  <c r="D182" i="39"/>
  <c r="D181" i="39"/>
  <c r="D180" i="39"/>
  <c r="D179" i="39"/>
  <c r="D178" i="39"/>
  <c r="D177" i="39"/>
  <c r="D176" i="39"/>
  <c r="D174" i="39"/>
  <c r="D173" i="39"/>
  <c r="D172" i="39"/>
  <c r="D171" i="39"/>
  <c r="D170" i="39"/>
  <c r="D169" i="39"/>
  <c r="D168" i="39"/>
  <c r="D167" i="39"/>
  <c r="D166" i="39"/>
  <c r="D165" i="39"/>
  <c r="D164" i="39"/>
  <c r="D163" i="39"/>
  <c r="D162" i="39"/>
  <c r="D161" i="39"/>
  <c r="D160" i="39"/>
  <c r="D159" i="39"/>
  <c r="D158" i="39"/>
  <c r="D157" i="39"/>
  <c r="D156" i="39"/>
  <c r="D155" i="39"/>
  <c r="D154" i="39"/>
  <c r="D153" i="39"/>
  <c r="D157" i="17"/>
  <c r="D149" i="39" s="1"/>
  <c r="D151" i="17"/>
  <c r="D144" i="39" s="1"/>
  <c r="D149" i="17"/>
  <c r="D142" i="39" s="1"/>
  <c r="D148" i="17"/>
  <c r="D147" i="17"/>
  <c r="D140" i="39" s="1"/>
  <c r="D138" i="39"/>
  <c r="D141" i="39"/>
  <c r="G1219" i="32"/>
  <c r="D133" i="39"/>
  <c r="D132" i="39"/>
  <c r="D131" i="39"/>
  <c r="D130" i="39"/>
  <c r="D129" i="39"/>
  <c r="D128" i="39"/>
  <c r="E75" i="22"/>
  <c r="F75" i="22"/>
  <c r="F74" i="22"/>
  <c r="E74" i="22"/>
  <c r="F89" i="22"/>
  <c r="E89" i="22"/>
  <c r="F88" i="22"/>
  <c r="E88" i="22"/>
  <c r="F87" i="22"/>
  <c r="E87" i="22"/>
  <c r="F86" i="22"/>
  <c r="E86" i="22"/>
  <c r="F85" i="22"/>
  <c r="E85" i="22"/>
  <c r="F84" i="22"/>
  <c r="E84" i="22"/>
  <c r="F83" i="22"/>
  <c r="E83" i="22"/>
  <c r="F82" i="22"/>
  <c r="E82" i="22"/>
  <c r="F81" i="22"/>
  <c r="E81" i="22"/>
  <c r="F80" i="22"/>
  <c r="E80" i="22"/>
  <c r="F79" i="22"/>
  <c r="E79" i="22"/>
  <c r="F78" i="22"/>
  <c r="E78" i="22"/>
  <c r="F77" i="22"/>
  <c r="E77" i="22"/>
  <c r="F76" i="22"/>
  <c r="D146" i="17" s="1"/>
  <c r="D139" i="39" s="1"/>
  <c r="E76" i="22"/>
  <c r="F73" i="22"/>
  <c r="E73" i="22"/>
  <c r="F72" i="22"/>
  <c r="E72" i="22"/>
  <c r="F71" i="22"/>
  <c r="D150" i="17" s="1"/>
  <c r="D143" i="39" s="1"/>
  <c r="E71" i="22"/>
  <c r="F70" i="22"/>
  <c r="D143" i="17" s="1"/>
  <c r="D136" i="39" s="1"/>
  <c r="G892" i="37" l="1"/>
  <c r="G889" i="37"/>
  <c r="D137" i="39"/>
  <c r="D47" i="39"/>
  <c r="D45" i="17"/>
  <c r="D48" i="39" s="1"/>
  <c r="D156" i="17"/>
  <c r="D148" i="39" s="1"/>
  <c r="H1220" i="32"/>
  <c r="H1222" i="32" s="1"/>
  <c r="D128" i="17"/>
  <c r="D123" i="39" s="1"/>
  <c r="D129" i="17"/>
  <c r="D124" i="39" s="1"/>
  <c r="K68" i="22"/>
  <c r="K51" i="22"/>
  <c r="I23" i="23" s="1"/>
  <c r="D126" i="17" s="1"/>
  <c r="G895" i="37" l="1"/>
  <c r="G899" i="37"/>
  <c r="G905" i="37" s="1"/>
  <c r="G910" i="37" s="1"/>
  <c r="G916" i="37" s="1"/>
  <c r="G921" i="37" s="1"/>
  <c r="H1223" i="32"/>
  <c r="H1224" i="32" s="1"/>
  <c r="E145" i="39" s="1"/>
  <c r="D127" i="17"/>
  <c r="D122" i="39" s="1"/>
  <c r="D121" i="39"/>
  <c r="D108" i="17"/>
  <c r="D106" i="17"/>
  <c r="D103" i="39" s="1"/>
  <c r="D105" i="39"/>
  <c r="D91" i="39"/>
  <c r="D90" i="39"/>
  <c r="D89" i="39"/>
  <c r="D88" i="39"/>
  <c r="D85" i="39"/>
  <c r="D84" i="39"/>
  <c r="D83" i="39"/>
  <c r="D82" i="39"/>
  <c r="D81" i="39"/>
  <c r="H63" i="27"/>
  <c r="I63" i="27" s="1"/>
  <c r="H62" i="27"/>
  <c r="H61" i="27"/>
  <c r="I61" i="27" s="1"/>
  <c r="H60" i="27"/>
  <c r="H59" i="27"/>
  <c r="I59" i="27" s="1"/>
  <c r="H58" i="27"/>
  <c r="H57" i="27"/>
  <c r="I57" i="27" s="1"/>
  <c r="H56" i="27"/>
  <c r="H55" i="27"/>
  <c r="I55" i="27" s="1"/>
  <c r="H54" i="27"/>
  <c r="H53" i="27"/>
  <c r="I53" i="27" s="1"/>
  <c r="H52" i="27"/>
  <c r="H51" i="27"/>
  <c r="I51" i="27" s="1"/>
  <c r="H50" i="27"/>
  <c r="H49" i="27"/>
  <c r="I49" i="27" s="1"/>
  <c r="H48" i="27"/>
  <c r="H47" i="27"/>
  <c r="I47" i="27" s="1"/>
  <c r="H46" i="27"/>
  <c r="H45" i="27"/>
  <c r="I45" i="27" s="1"/>
  <c r="H44" i="27"/>
  <c r="H43" i="27"/>
  <c r="I43" i="27" s="1"/>
  <c r="H42" i="27"/>
  <c r="H41" i="27"/>
  <c r="I41" i="27" s="1"/>
  <c r="H40" i="27"/>
  <c r="H39" i="27"/>
  <c r="I39" i="27" s="1"/>
  <c r="H38" i="27"/>
  <c r="H37" i="27"/>
  <c r="I37" i="27" s="1"/>
  <c r="H36" i="27"/>
  <c r="H35" i="27"/>
  <c r="I35" i="27" s="1"/>
  <c r="H34" i="27"/>
  <c r="H33" i="27"/>
  <c r="I33" i="27" s="1"/>
  <c r="H32" i="27"/>
  <c r="H31" i="27"/>
  <c r="I31" i="27" s="1"/>
  <c r="H30" i="27"/>
  <c r="H29" i="27"/>
  <c r="I29" i="27" s="1"/>
  <c r="H28" i="27"/>
  <c r="H27" i="27"/>
  <c r="I27" i="27" s="1"/>
  <c r="H26" i="27"/>
  <c r="H25" i="27"/>
  <c r="I25" i="27" s="1"/>
  <c r="H24" i="27"/>
  <c r="H23" i="27"/>
  <c r="I23" i="27" s="1"/>
  <c r="H22" i="27"/>
  <c r="H21" i="27"/>
  <c r="I21" i="27" s="1"/>
  <c r="H20" i="27"/>
  <c r="H19" i="27"/>
  <c r="I19" i="27" s="1"/>
  <c r="H18" i="27"/>
  <c r="H17" i="27"/>
  <c r="I17" i="27" s="1"/>
  <c r="H16" i="27"/>
  <c r="H15" i="27"/>
  <c r="I15" i="27" s="1"/>
  <c r="H14" i="27"/>
  <c r="H13" i="27"/>
  <c r="I13" i="27" s="1"/>
  <c r="H12" i="27"/>
  <c r="H11" i="27"/>
  <c r="I11" i="27" s="1"/>
  <c r="H10" i="27"/>
  <c r="H9" i="27"/>
  <c r="I9" i="27" s="1"/>
  <c r="H8" i="27"/>
  <c r="H7" i="27"/>
  <c r="I7" i="27" s="1"/>
  <c r="H6" i="27"/>
  <c r="H64" i="27" s="1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I6" i="27" s="1"/>
  <c r="D77" i="39"/>
  <c r="D67" i="39"/>
  <c r="E1068" i="32"/>
  <c r="E1067" i="32"/>
  <c r="E1066" i="32"/>
  <c r="E1065" i="32"/>
  <c r="E1064" i="32"/>
  <c r="E1063" i="32"/>
  <c r="E1055" i="32"/>
  <c r="E1054" i="32"/>
  <c r="E1053" i="32"/>
  <c r="E1052" i="32"/>
  <c r="E1044" i="32"/>
  <c r="E1043" i="32"/>
  <c r="E1042" i="32"/>
  <c r="E808" i="32"/>
  <c r="E807" i="32"/>
  <c r="E806" i="32"/>
  <c r="G926" i="37" l="1"/>
  <c r="G928" i="37"/>
  <c r="G943" i="37" s="1"/>
  <c r="G948" i="37" s="1"/>
  <c r="G950" i="37" s="1"/>
  <c r="I8" i="27"/>
  <c r="I64" i="27" s="1"/>
  <c r="D65" i="17" s="1"/>
  <c r="D66" i="39" s="1"/>
  <c r="I12" i="27"/>
  <c r="I16" i="27"/>
  <c r="I20" i="27"/>
  <c r="I24" i="27"/>
  <c r="I28" i="27"/>
  <c r="I32" i="27"/>
  <c r="I36" i="27"/>
  <c r="I40" i="27"/>
  <c r="I44" i="27"/>
  <c r="I48" i="27"/>
  <c r="I52" i="27"/>
  <c r="I56" i="27"/>
  <c r="I60" i="27"/>
  <c r="I10" i="27"/>
  <c r="I14" i="27"/>
  <c r="I18" i="27"/>
  <c r="I22" i="27"/>
  <c r="I26" i="27"/>
  <c r="I30" i="27"/>
  <c r="I34" i="27"/>
  <c r="I38" i="27"/>
  <c r="I42" i="27"/>
  <c r="I46" i="27"/>
  <c r="I50" i="27"/>
  <c r="I54" i="27"/>
  <c r="I58" i="27"/>
  <c r="I62" i="27"/>
  <c r="E459" i="32"/>
  <c r="E458" i="32"/>
  <c r="E457" i="32"/>
  <c r="E449" i="32"/>
  <c r="E448" i="32"/>
  <c r="E447" i="32"/>
  <c r="E446" i="32"/>
  <c r="E445" i="32"/>
  <c r="E444" i="32"/>
  <c r="E393" i="32"/>
  <c r="E392" i="32"/>
  <c r="E391" i="32"/>
  <c r="E390" i="32"/>
  <c r="G3816" i="32"/>
  <c r="G3815" i="32"/>
  <c r="E3817" i="32"/>
  <c r="G3817" i="32" s="1"/>
  <c r="E3818" i="32"/>
  <c r="G3818" i="32" s="1"/>
  <c r="G3814" i="32"/>
  <c r="G3813" i="32"/>
  <c r="E3255" i="32"/>
  <c r="G3255" i="32" s="1"/>
  <c r="E3254" i="32"/>
  <c r="G3254" i="32" s="1"/>
  <c r="G3253" i="32"/>
  <c r="G3252" i="32"/>
  <c r="G3200" i="32"/>
  <c r="G3199" i="32"/>
  <c r="G3159" i="32"/>
  <c r="G3158" i="32"/>
  <c r="G3157" i="32"/>
  <c r="G3156" i="32"/>
  <c r="G3155" i="32"/>
  <c r="G3154" i="32"/>
  <c r="G1022" i="32"/>
  <c r="G1021" i="32"/>
  <c r="G1020" i="32"/>
  <c r="G1019" i="32"/>
  <c r="G1018" i="32"/>
  <c r="G1017" i="32"/>
  <c r="G1007" i="32"/>
  <c r="G1006" i="32"/>
  <c r="G1005" i="32"/>
  <c r="G1004" i="32"/>
  <c r="G989" i="37" l="1"/>
  <c r="G993" i="37" s="1"/>
  <c r="G955" i="37"/>
  <c r="H1023" i="32"/>
  <c r="H3202" i="32"/>
  <c r="H3256" i="32"/>
  <c r="H3820" i="32"/>
  <c r="H3819" i="32"/>
  <c r="H3257" i="32"/>
  <c r="H3160" i="32"/>
  <c r="H3161" i="32"/>
  <c r="H1024" i="32"/>
  <c r="G1009" i="32"/>
  <c r="G1008" i="32"/>
  <c r="G1003" i="32"/>
  <c r="G1002" i="32"/>
  <c r="G999" i="37" l="1"/>
  <c r="G996" i="37"/>
  <c r="H1010" i="32"/>
  <c r="H3258" i="32"/>
  <c r="H3259" i="32" s="1"/>
  <c r="H3260" i="32" s="1"/>
  <c r="H1025" i="32"/>
  <c r="H1026" i="32" s="1"/>
  <c r="H1027" i="32" s="1"/>
  <c r="E124" i="39" s="1"/>
  <c r="F124" i="39" s="1"/>
  <c r="H3821" i="32"/>
  <c r="H3822" i="32" s="1"/>
  <c r="H3823" i="32" s="1"/>
  <c r="H3162" i="32"/>
  <c r="H3163" i="32" s="1"/>
  <c r="H3164" i="32" s="1"/>
  <c r="E336" i="39" s="1"/>
  <c r="H1011" i="32"/>
  <c r="G3608" i="32"/>
  <c r="G3607" i="32"/>
  <c r="G3610" i="32"/>
  <c r="G3609" i="32"/>
  <c r="G3603" i="32"/>
  <c r="G3602" i="32"/>
  <c r="G3601" i="32"/>
  <c r="G3600" i="32"/>
  <c r="G3599" i="32"/>
  <c r="G3598" i="32"/>
  <c r="G3648" i="32"/>
  <c r="G3647" i="32"/>
  <c r="G3627" i="32"/>
  <c r="G3650" i="32"/>
  <c r="G3643" i="32"/>
  <c r="G3642" i="32"/>
  <c r="G3641" i="32"/>
  <c r="G3640" i="32"/>
  <c r="G3639" i="32"/>
  <c r="G3638" i="32"/>
  <c r="G3623" i="32"/>
  <c r="G3622" i="32"/>
  <c r="G3621" i="32"/>
  <c r="G3620" i="32"/>
  <c r="G3619" i="32"/>
  <c r="G3618" i="32"/>
  <c r="G1013" i="37" l="1"/>
  <c r="G1009" i="37"/>
  <c r="H3612" i="32"/>
  <c r="H1012" i="32"/>
  <c r="B39" i="42"/>
  <c r="B37" i="42"/>
  <c r="B36" i="42"/>
  <c r="B35" i="42"/>
  <c r="B34" i="42"/>
  <c r="B27" i="42"/>
  <c r="B26" i="42"/>
  <c r="B25" i="42"/>
  <c r="H2" i="42"/>
  <c r="I8" i="42" s="1"/>
  <c r="I9" i="42" l="1"/>
  <c r="I7" i="42"/>
  <c r="H1013" i="32"/>
  <c r="H1014" i="32" s="1"/>
  <c r="E123" i="39" s="1"/>
  <c r="F123" i="39" s="1"/>
  <c r="I6" i="42"/>
  <c r="B14" i="42" l="1"/>
  <c r="D36" i="17" s="1"/>
  <c r="D40" i="39" s="1"/>
  <c r="H200" i="32" l="1"/>
  <c r="F402" i="39" l="1"/>
  <c r="F350" i="39"/>
  <c r="F345" i="39"/>
  <c r="F336" i="39"/>
  <c r="Q43" i="22"/>
  <c r="Q42" i="22"/>
  <c r="Q41" i="22"/>
  <c r="Q40" i="22"/>
  <c r="AO82" i="40" l="1"/>
  <c r="AN82" i="40"/>
  <c r="AM82" i="40"/>
  <c r="AL82" i="40"/>
  <c r="AK82" i="40"/>
  <c r="AI82" i="40" l="1"/>
  <c r="AH82" i="40"/>
  <c r="AG82" i="40"/>
  <c r="AF82" i="40"/>
  <c r="AE82" i="40"/>
  <c r="AC82" i="40"/>
  <c r="AB82" i="40"/>
  <c r="AA82" i="40"/>
  <c r="Z82" i="40"/>
  <c r="Y82" i="40"/>
  <c r="W82" i="40"/>
  <c r="V82" i="40"/>
  <c r="U82" i="40"/>
  <c r="T82" i="40"/>
  <c r="S82" i="40"/>
  <c r="Q82" i="40"/>
  <c r="P82" i="40"/>
  <c r="O82" i="40"/>
  <c r="N82" i="40"/>
  <c r="M82" i="40"/>
  <c r="K82" i="40"/>
  <c r="J82" i="40"/>
  <c r="I82" i="40"/>
  <c r="H82" i="40"/>
  <c r="G82" i="40"/>
  <c r="G1456" i="32"/>
  <c r="H1458" i="32" s="1"/>
  <c r="G1447" i="32"/>
  <c r="H1449" i="32" s="1"/>
  <c r="G1438" i="32"/>
  <c r="H1440" i="32" s="1"/>
  <c r="E883" i="32" l="1"/>
  <c r="E263" i="32" l="1"/>
  <c r="E3244" i="32" l="1"/>
  <c r="E3243" i="32"/>
  <c r="H220" i="32"/>
  <c r="H221" i="32" l="1"/>
  <c r="H223" i="32" s="1"/>
  <c r="H224" i="32" s="1"/>
  <c r="H225" i="32" s="1"/>
  <c r="E33" i="39" s="1"/>
  <c r="F33" i="39" s="1"/>
  <c r="E1429" i="32" l="1"/>
  <c r="G1429" i="32" s="1"/>
  <c r="E1402" i="32"/>
  <c r="G1402" i="32" s="1"/>
  <c r="H1404" i="32" s="1"/>
  <c r="E3382" i="32" l="1"/>
  <c r="G1719" i="32" l="1"/>
  <c r="H1721" i="32" s="1"/>
  <c r="E87" i="32"/>
  <c r="E292" i="32" l="1"/>
  <c r="G292" i="32" s="1"/>
  <c r="H294" i="32" s="1"/>
  <c r="E1113" i="32"/>
  <c r="G1113" i="32" s="1"/>
  <c r="E1114" i="32"/>
  <c r="G1114" i="32" s="1"/>
  <c r="E1116" i="32"/>
  <c r="G1116" i="32" s="1"/>
  <c r="E1118" i="32"/>
  <c r="G1118" i="32" s="1"/>
  <c r="E1128" i="32"/>
  <c r="G1128" i="32" s="1"/>
  <c r="H1131" i="32" s="1"/>
  <c r="E1138" i="32"/>
  <c r="G1138" i="32" s="1"/>
  <c r="G263" i="32"/>
  <c r="H265" i="32" s="1"/>
  <c r="G255" i="32"/>
  <c r="H256" i="32" s="1"/>
  <c r="G247" i="32"/>
  <c r="H248" i="32" s="1"/>
  <c r="E191" i="32"/>
  <c r="E167" i="32"/>
  <c r="E356" i="32"/>
  <c r="G356" i="32" s="1"/>
  <c r="G18" i="32"/>
  <c r="G17" i="32"/>
  <c r="G16" i="32"/>
  <c r="G15" i="32"/>
  <c r="G14" i="32"/>
  <c r="G13" i="32"/>
  <c r="H19" i="32" l="1"/>
  <c r="H21" i="32" s="1"/>
  <c r="H250" i="32"/>
  <c r="H251" i="32" s="1"/>
  <c r="H252" i="32" s="1"/>
  <c r="E40" i="39" s="1"/>
  <c r="F40" i="39" s="1"/>
  <c r="H266" i="32"/>
  <c r="H258" i="32"/>
  <c r="H267" i="32" l="1"/>
  <c r="H268" i="32" s="1"/>
  <c r="E42" i="39" s="1"/>
  <c r="H259" i="32"/>
  <c r="H260" i="32" s="1"/>
  <c r="E41" i="39" s="1"/>
  <c r="H22" i="32"/>
  <c r="H23" i="32" s="1"/>
  <c r="E14" i="39" s="1"/>
  <c r="F14" i="39" s="1"/>
  <c r="F12" i="39" s="1"/>
  <c r="D13" i="40" s="1"/>
  <c r="AJ13" i="40" l="1"/>
  <c r="R13" i="40"/>
  <c r="L13" i="40"/>
  <c r="F13" i="40"/>
  <c r="AD13" i="40"/>
  <c r="X13" i="40"/>
  <c r="G862" i="32"/>
  <c r="G861" i="32"/>
  <c r="E872" i="32"/>
  <c r="G872" i="32" s="1"/>
  <c r="H865" i="32" l="1"/>
  <c r="G191" i="32" l="1"/>
  <c r="H193" i="32" s="1"/>
  <c r="H199" i="32"/>
  <c r="H201" i="32" s="1"/>
  <c r="H209" i="32"/>
  <c r="H210" i="32"/>
  <c r="H211" i="32"/>
  <c r="H212" i="32"/>
  <c r="H208" i="32"/>
  <c r="H214" i="32"/>
  <c r="H194" i="32" l="1"/>
  <c r="H213" i="32"/>
  <c r="H203" i="32"/>
  <c r="H215" i="32" l="1"/>
  <c r="H216" i="32" s="1"/>
  <c r="H217" i="32" s="1"/>
  <c r="E32" i="39" s="1"/>
  <c r="F32" i="39" s="1"/>
  <c r="H195" i="32"/>
  <c r="H196" i="32" s="1"/>
  <c r="E30" i="39" s="1"/>
  <c r="F30" i="39" s="1"/>
  <c r="H204" i="32"/>
  <c r="H205" i="32" s="1"/>
  <c r="E31" i="39" s="1"/>
  <c r="F31" i="39" s="1"/>
  <c r="E1130" i="32" l="1"/>
  <c r="G1130" i="32" s="1"/>
  <c r="E2118" i="32" l="1"/>
  <c r="G2118" i="32" s="1"/>
  <c r="H2121" i="32" s="1"/>
  <c r="E2109" i="32"/>
  <c r="G2109" i="32" s="1"/>
  <c r="E2108" i="32"/>
  <c r="G2108" i="32" s="1"/>
  <c r="E2098" i="32"/>
  <c r="G2098" i="32" s="1"/>
  <c r="H2101" i="32" s="1"/>
  <c r="E2088" i="32"/>
  <c r="E2078" i="32"/>
  <c r="G2078" i="32" s="1"/>
  <c r="H2081" i="32" s="1"/>
  <c r="E2068" i="32"/>
  <c r="G2068" i="32" s="1"/>
  <c r="H2071" i="32" s="1"/>
  <c r="E2058" i="32"/>
  <c r="G2058" i="32" s="1"/>
  <c r="H2061" i="32" s="1"/>
  <c r="E2048" i="32"/>
  <c r="G2048" i="32" s="1"/>
  <c r="E2047" i="32"/>
  <c r="G2047" i="32" s="1"/>
  <c r="E2045" i="32"/>
  <c r="G2045" i="32" s="1"/>
  <c r="E2046" i="32"/>
  <c r="G2046" i="32" s="1"/>
  <c r="E2044" i="32"/>
  <c r="G2044" i="32" s="1"/>
  <c r="E2043" i="32"/>
  <c r="G2043" i="32" s="1"/>
  <c r="E2042" i="32"/>
  <c r="G2042" i="32" s="1"/>
  <c r="E2022" i="32"/>
  <c r="G2022" i="32" s="1"/>
  <c r="H2025" i="32" s="1"/>
  <c r="E2012" i="32"/>
  <c r="G2012" i="32" s="1"/>
  <c r="H2015" i="32" s="1"/>
  <c r="E1992" i="32"/>
  <c r="G1992" i="32" s="1"/>
  <c r="H1995" i="32" s="1"/>
  <c r="E1982" i="32"/>
  <c r="G1982" i="32" s="1"/>
  <c r="H1985" i="32" s="1"/>
  <c r="E1972" i="32"/>
  <c r="G1972" i="32" s="1"/>
  <c r="H1975" i="32" s="1"/>
  <c r="E1962" i="32"/>
  <c r="G1962" i="32" s="1"/>
  <c r="H1965" i="32" s="1"/>
  <c r="E1952" i="32"/>
  <c r="G1952" i="32" s="1"/>
  <c r="H1955" i="32" s="1"/>
  <c r="G2088" i="32"/>
  <c r="H2091" i="32" s="1"/>
  <c r="H2111" i="32" l="1"/>
  <c r="H2051" i="32"/>
  <c r="E2120" i="32" l="1"/>
  <c r="G2120" i="32" s="1"/>
  <c r="E2100" i="32"/>
  <c r="G2100" i="32" s="1"/>
  <c r="E2090" i="32"/>
  <c r="G2090" i="32" s="1"/>
  <c r="E2080" i="32"/>
  <c r="G2080" i="32" s="1"/>
  <c r="E2070" i="32"/>
  <c r="G2070" i="32" s="1"/>
  <c r="E2060" i="32"/>
  <c r="G2060" i="32" s="1"/>
  <c r="E1974" i="32"/>
  <c r="G1974" i="32" s="1"/>
  <c r="E1964" i="32"/>
  <c r="G1964" i="32" s="1"/>
  <c r="E1954" i="32"/>
  <c r="G1954" i="32" s="1"/>
  <c r="E2119" i="32"/>
  <c r="G2119" i="32" s="1"/>
  <c r="E2099" i="32"/>
  <c r="G2099" i="32" s="1"/>
  <c r="E2089" i="32"/>
  <c r="G2089" i="32" s="1"/>
  <c r="E2079" i="32"/>
  <c r="G2079" i="32" s="1"/>
  <c r="E2069" i="32"/>
  <c r="G2069" i="32" s="1"/>
  <c r="E2059" i="32"/>
  <c r="G2059" i="32" s="1"/>
  <c r="E1973" i="32"/>
  <c r="G1973" i="32" s="1"/>
  <c r="E1963" i="32"/>
  <c r="G1963" i="32" s="1"/>
  <c r="E1953" i="32"/>
  <c r="G1953" i="32" s="1"/>
  <c r="E2023" i="32"/>
  <c r="G2023" i="32" s="1"/>
  <c r="E2013" i="32"/>
  <c r="G2013" i="32" s="1"/>
  <c r="E1993" i="32"/>
  <c r="G1993" i="32" s="1"/>
  <c r="E1983" i="32"/>
  <c r="G1983" i="32" s="1"/>
  <c r="L184" i="38"/>
  <c r="L156" i="38"/>
  <c r="L149" i="38"/>
  <c r="H1956" i="32" l="1"/>
  <c r="H1957" i="32" s="1"/>
  <c r="H1976" i="32"/>
  <c r="H1977" i="32" s="1"/>
  <c r="H2072" i="32"/>
  <c r="H2073" i="32" s="1"/>
  <c r="H2092" i="32"/>
  <c r="H2093" i="32" s="1"/>
  <c r="H2062" i="32"/>
  <c r="H2063" i="32" s="1"/>
  <c r="H2082" i="32"/>
  <c r="H2083" i="32" s="1"/>
  <c r="H2102" i="32"/>
  <c r="H2103" i="32" s="1"/>
  <c r="H1966" i="32"/>
  <c r="H1967" i="32" s="1"/>
  <c r="H2122" i="32"/>
  <c r="H2123" i="32" s="1"/>
  <c r="J191" i="38"/>
  <c r="K191" i="38" s="1"/>
  <c r="J189" i="38"/>
  <c r="K189" i="38" s="1"/>
  <c r="J187" i="38"/>
  <c r="K187" i="38" s="1"/>
  <c r="K193" i="38" l="1"/>
  <c r="M193" i="38" s="1"/>
  <c r="H2124" i="32"/>
  <c r="H2125" i="32" s="1"/>
  <c r="E242" i="39" s="1"/>
  <c r="F242" i="39" s="1"/>
  <c r="H2094" i="32"/>
  <c r="H2095" i="32" s="1"/>
  <c r="E239" i="39" s="1"/>
  <c r="F239" i="39" s="1"/>
  <c r="H1978" i="32"/>
  <c r="H1979" i="32" s="1"/>
  <c r="E228" i="39" s="1"/>
  <c r="F228" i="39" s="1"/>
  <c r="H2074" i="32"/>
  <c r="H2075" i="32" s="1"/>
  <c r="E237" i="39" s="1"/>
  <c r="F237" i="39" s="1"/>
  <c r="H1958" i="32"/>
  <c r="H1959" i="32" s="1"/>
  <c r="E226" i="39" s="1"/>
  <c r="F226" i="39" s="1"/>
  <c r="H2104" i="32"/>
  <c r="H2105" i="32" s="1"/>
  <c r="E240" i="39" s="1"/>
  <c r="F240" i="39" s="1"/>
  <c r="H2084" i="32"/>
  <c r="H2085" i="32" s="1"/>
  <c r="E238" i="39" s="1"/>
  <c r="F238" i="39" s="1"/>
  <c r="H2064" i="32"/>
  <c r="H2065" i="32" s="1"/>
  <c r="E236" i="39" s="1"/>
  <c r="F236" i="39" s="1"/>
  <c r="H1968" i="32"/>
  <c r="H1969" i="32" s="1"/>
  <c r="E227" i="39" s="1"/>
  <c r="F227" i="39" s="1"/>
  <c r="J203" i="38"/>
  <c r="J201" i="38"/>
  <c r="J199" i="38"/>
  <c r="J197" i="38"/>
  <c r="J182" i="38"/>
  <c r="K182" i="38" s="1"/>
  <c r="J180" i="38"/>
  <c r="K180" i="38" s="1"/>
  <c r="J178" i="38"/>
  <c r="K178" i="38" s="1"/>
  <c r="J176" i="38"/>
  <c r="K176" i="38" s="1"/>
  <c r="J174" i="38"/>
  <c r="K174" i="38" s="1"/>
  <c r="J172" i="38"/>
  <c r="K172" i="38" s="1"/>
  <c r="J170" i="38"/>
  <c r="K170" i="38" s="1"/>
  <c r="J166" i="38"/>
  <c r="K166" i="38" s="1"/>
  <c r="J164" i="38"/>
  <c r="K164" i="38" s="1"/>
  <c r="J162" i="38"/>
  <c r="K162" i="38" s="1"/>
  <c r="J160" i="38"/>
  <c r="K160" i="38" s="1"/>
  <c r="J152" i="38"/>
  <c r="K152" i="38" s="1"/>
  <c r="J147" i="38"/>
  <c r="K147" i="38" s="1"/>
  <c r="J145" i="38"/>
  <c r="K145" i="38" s="1"/>
  <c r="J143" i="38"/>
  <c r="K143" i="38" s="1"/>
  <c r="J141" i="38"/>
  <c r="K141" i="38" s="1"/>
  <c r="J139" i="38"/>
  <c r="K139" i="38" s="1"/>
  <c r="J137" i="38"/>
  <c r="K137" i="38" s="1"/>
  <c r="J135" i="38"/>
  <c r="K135" i="38" s="1"/>
  <c r="J133" i="38"/>
  <c r="K133" i="38" s="1"/>
  <c r="J131" i="38"/>
  <c r="K131" i="38" s="1"/>
  <c r="J129" i="38"/>
  <c r="K129" i="38" s="1"/>
  <c r="J127" i="38"/>
  <c r="K127" i="38" s="1"/>
  <c r="J125" i="38"/>
  <c r="K125" i="38" s="1"/>
  <c r="J123" i="38"/>
  <c r="K123" i="38" s="1"/>
  <c r="J121" i="38"/>
  <c r="K121" i="38" s="1"/>
  <c r="J119" i="38"/>
  <c r="K119" i="38" s="1"/>
  <c r="J117" i="38"/>
  <c r="K117" i="38" s="1"/>
  <c r="J115" i="38"/>
  <c r="K115" i="38" s="1"/>
  <c r="J111" i="38"/>
  <c r="K111" i="38" s="1"/>
  <c r="J109" i="38"/>
  <c r="K109" i="38" s="1"/>
  <c r="J107" i="38"/>
  <c r="K107" i="38" s="1"/>
  <c r="J105" i="38"/>
  <c r="K105" i="38" s="1"/>
  <c r="J103" i="38"/>
  <c r="K103" i="38" s="1"/>
  <c r="J101" i="38"/>
  <c r="K101" i="38" s="1"/>
  <c r="J99" i="38"/>
  <c r="K99" i="38" s="1"/>
  <c r="J97" i="38"/>
  <c r="K97" i="38" s="1"/>
  <c r="J95" i="38"/>
  <c r="K95" i="38" s="1"/>
  <c r="J93" i="38"/>
  <c r="K93" i="38" s="1"/>
  <c r="J91" i="38"/>
  <c r="K91" i="38" s="1"/>
  <c r="J89" i="38"/>
  <c r="K89" i="38" s="1"/>
  <c r="J87" i="38"/>
  <c r="K87" i="38" s="1"/>
  <c r="J85" i="38"/>
  <c r="K85" i="38" s="1"/>
  <c r="J83" i="38"/>
  <c r="K83" i="38" s="1"/>
  <c r="J81" i="38"/>
  <c r="K81" i="38" s="1"/>
  <c r="J79" i="38"/>
  <c r="K79" i="38" s="1"/>
  <c r="J77" i="38"/>
  <c r="K77" i="38" s="1"/>
  <c r="J75" i="38"/>
  <c r="K75" i="38" s="1"/>
  <c r="J73" i="38"/>
  <c r="K73" i="38" s="1"/>
  <c r="J71" i="38"/>
  <c r="K71" i="38" s="1"/>
  <c r="J69" i="38"/>
  <c r="K69" i="38" s="1"/>
  <c r="J67" i="38"/>
  <c r="K67" i="38" s="1"/>
  <c r="J65" i="38"/>
  <c r="K65" i="38" s="1"/>
  <c r="J63" i="38"/>
  <c r="K63" i="38" s="1"/>
  <c r="J61" i="38"/>
  <c r="K61" i="38" s="1"/>
  <c r="J59" i="38"/>
  <c r="K59" i="38" s="1"/>
  <c r="J57" i="38"/>
  <c r="K57" i="38" s="1"/>
  <c r="J55" i="38"/>
  <c r="K55" i="38" s="1"/>
  <c r="J53" i="38"/>
  <c r="K53" i="38" s="1"/>
  <c r="J51" i="38"/>
  <c r="K51" i="38" s="1"/>
  <c r="J49" i="38"/>
  <c r="K49" i="38" s="1"/>
  <c r="J47" i="38"/>
  <c r="K47" i="38" s="1"/>
  <c r="J45" i="38"/>
  <c r="K45" i="38" s="1"/>
  <c r="J43" i="38"/>
  <c r="K43" i="38" s="1"/>
  <c r="J41" i="38"/>
  <c r="K41" i="38" s="1"/>
  <c r="J39" i="38"/>
  <c r="K39" i="38" s="1"/>
  <c r="J37" i="38"/>
  <c r="K37" i="38" s="1"/>
  <c r="J35" i="38"/>
  <c r="K35" i="38" s="1"/>
  <c r="J33" i="38"/>
  <c r="K33" i="38" s="1"/>
  <c r="J31" i="38"/>
  <c r="K31" i="38" s="1"/>
  <c r="K184" i="38" l="1"/>
  <c r="M184" i="38" s="1"/>
  <c r="J27" i="38"/>
  <c r="K27" i="38" s="1"/>
  <c r="J25" i="38"/>
  <c r="K25" i="38" s="1"/>
  <c r="J29" i="38"/>
  <c r="K23" i="38"/>
  <c r="J6" i="38"/>
  <c r="K6" i="38" s="1"/>
  <c r="M6" i="38" s="1"/>
  <c r="N6" i="38" s="1"/>
  <c r="J21" i="38"/>
  <c r="K21" i="38" s="1"/>
  <c r="J19" i="38"/>
  <c r="K19" i="38" s="1"/>
  <c r="J17" i="38"/>
  <c r="K17" i="38" s="1"/>
  <c r="J10" i="38"/>
  <c r="K10" i="38" s="1"/>
  <c r="M10" i="38" s="1"/>
  <c r="N10" i="38" s="1"/>
  <c r="J8" i="38"/>
  <c r="K8" i="38" s="1"/>
  <c r="M8" i="38" s="1"/>
  <c r="N8" i="38" s="1"/>
  <c r="N12" i="38" l="1"/>
  <c r="K29" i="38"/>
  <c r="K149" i="38" s="1"/>
  <c r="M149" i="38" s="1"/>
  <c r="G122" i="32"/>
  <c r="E348" i="32" l="1"/>
  <c r="G348" i="32" s="1"/>
  <c r="H350" i="32" s="1"/>
  <c r="H351" i="32" s="1"/>
  <c r="H352" i="32" s="1"/>
  <c r="H353" i="32" s="1"/>
  <c r="E53" i="39" s="1"/>
  <c r="E911" i="32" l="1"/>
  <c r="E306" i="32"/>
  <c r="G306" i="32" s="1"/>
  <c r="E305" i="32"/>
  <c r="G305" i="32" s="1"/>
  <c r="E304" i="32"/>
  <c r="G304" i="32" s="1"/>
  <c r="E303" i="32"/>
  <c r="E302" i="32"/>
  <c r="E301" i="32"/>
  <c r="E237" i="32"/>
  <c r="E3714" i="32"/>
  <c r="E3683" i="32"/>
  <c r="E3675" i="32"/>
  <c r="E3659" i="32"/>
  <c r="E992" i="32"/>
  <c r="G992" i="32" s="1"/>
  <c r="E991" i="32"/>
  <c r="E980" i="32"/>
  <c r="E979" i="32"/>
  <c r="E962" i="32"/>
  <c r="E963" i="32"/>
  <c r="E964" i="32"/>
  <c r="E965" i="32"/>
  <c r="E966" i="32"/>
  <c r="E967" i="32"/>
  <c r="E968" i="32"/>
  <c r="E969" i="32"/>
  <c r="E946" i="32"/>
  <c r="E947" i="32"/>
  <c r="E948" i="32"/>
  <c r="E949" i="32"/>
  <c r="E950" i="32"/>
  <c r="E951" i="32"/>
  <c r="E945" i="32"/>
  <c r="E933" i="32"/>
  <c r="E934" i="32"/>
  <c r="E937" i="32"/>
  <c r="E932" i="32"/>
  <c r="E923" i="32"/>
  <c r="E921" i="32"/>
  <c r="E920" i="32"/>
  <c r="G920" i="32" s="1"/>
  <c r="E907" i="32"/>
  <c r="E908" i="32"/>
  <c r="E906" i="32"/>
  <c r="E898" i="32"/>
  <c r="E3645" i="32"/>
  <c r="G3645" i="32" s="1"/>
  <c r="E3646" i="32"/>
  <c r="G3646" i="32" s="1"/>
  <c r="E3644" i="32"/>
  <c r="E3625" i="32"/>
  <c r="E3626" i="32"/>
  <c r="E3624" i="32"/>
  <c r="G3606" i="32"/>
  <c r="G3605" i="32"/>
  <c r="E887" i="32"/>
  <c r="G887" i="32" s="1"/>
  <c r="E884" i="32"/>
  <c r="G884" i="32" s="1"/>
  <c r="E885" i="32"/>
  <c r="G885" i="32" s="1"/>
  <c r="G883" i="32"/>
  <c r="E882" i="32"/>
  <c r="G882" i="32" s="1"/>
  <c r="E175" i="32"/>
  <c r="E151" i="32"/>
  <c r="E159" i="32" s="1"/>
  <c r="G159" i="32" s="1"/>
  <c r="H161" i="32" s="1"/>
  <c r="H162" i="32" s="1"/>
  <c r="H163" i="32" s="1"/>
  <c r="H164" i="32" s="1"/>
  <c r="E26" i="39" s="1"/>
  <c r="F26" i="39" s="1"/>
  <c r="E1100" i="32"/>
  <c r="E1090" i="32"/>
  <c r="E1092" i="32"/>
  <c r="E1089" i="32"/>
  <c r="E1077" i="32"/>
  <c r="E1078" i="32"/>
  <c r="E1079" i="32"/>
  <c r="E1081" i="32"/>
  <c r="E1076" i="32"/>
  <c r="E1032" i="32"/>
  <c r="E1033" i="32"/>
  <c r="E1240" i="32"/>
  <c r="E1241" i="32"/>
  <c r="E1242" i="32"/>
  <c r="E1243" i="32"/>
  <c r="E1244" i="32"/>
  <c r="E1239" i="32"/>
  <c r="E1229" i="32"/>
  <c r="E1231" i="32"/>
  <c r="E1228" i="32"/>
  <c r="E852" i="32"/>
  <c r="E851" i="32"/>
  <c r="E838" i="32"/>
  <c r="E839" i="32"/>
  <c r="E841" i="32"/>
  <c r="E829" i="32"/>
  <c r="E828" i="32"/>
  <c r="E819" i="32"/>
  <c r="E818" i="32"/>
  <c r="E816" i="32"/>
  <c r="E794" i="32"/>
  <c r="E795" i="32"/>
  <c r="E793" i="32"/>
  <c r="E783" i="32"/>
  <c r="E782" i="32"/>
  <c r="E3588" i="32"/>
  <c r="E3580" i="32"/>
  <c r="E3579" i="32"/>
  <c r="E3570" i="32"/>
  <c r="E3560" i="32"/>
  <c r="E3550" i="32"/>
  <c r="E3541" i="32"/>
  <c r="E3542" i="32"/>
  <c r="E3540" i="32"/>
  <c r="E3531" i="32"/>
  <c r="E3532" i="32"/>
  <c r="E3530" i="32"/>
  <c r="E3521" i="32"/>
  <c r="E3522" i="32"/>
  <c r="E3520" i="32"/>
  <c r="E3511" i="32"/>
  <c r="E3512" i="32"/>
  <c r="E3510" i="32"/>
  <c r="E3501" i="32"/>
  <c r="E3502" i="32"/>
  <c r="E3500" i="32"/>
  <c r="E3490" i="32"/>
  <c r="E3482" i="32"/>
  <c r="E3479" i="32"/>
  <c r="E3477" i="32"/>
  <c r="E3478" i="32"/>
  <c r="E3475" i="32"/>
  <c r="E3476" i="32"/>
  <c r="E3474" i="32"/>
  <c r="E3466" i="32"/>
  <c r="E3465" i="32"/>
  <c r="E3455" i="32"/>
  <c r="E3445" i="32"/>
  <c r="E3435" i="32"/>
  <c r="E3425" i="32"/>
  <c r="E728" i="32"/>
  <c r="E727" i="32"/>
  <c r="E718" i="32"/>
  <c r="E719" i="32"/>
  <c r="E717" i="32"/>
  <c r="E686" i="32"/>
  <c r="E685" i="32"/>
  <c r="E683" i="32"/>
  <c r="E3803" i="32"/>
  <c r="E3802" i="32"/>
  <c r="G3802" i="32" s="1"/>
  <c r="E3801" i="32"/>
  <c r="G3801" i="32" s="1"/>
  <c r="E3800" i="32"/>
  <c r="E3799" i="32"/>
  <c r="E3791" i="32"/>
  <c r="E3788" i="32"/>
  <c r="G3788" i="32" s="1"/>
  <c r="E3787" i="32"/>
  <c r="G3787" i="32" s="1"/>
  <c r="E3786" i="32"/>
  <c r="E3785" i="32"/>
  <c r="E3775" i="32"/>
  <c r="E3774" i="32"/>
  <c r="E3764" i="32"/>
  <c r="E3753" i="32"/>
  <c r="E3742" i="32"/>
  <c r="E3725" i="32"/>
  <c r="E3726" i="32"/>
  <c r="E3727" i="32"/>
  <c r="E3728" i="32"/>
  <c r="E3729" i="32"/>
  <c r="E3730" i="32"/>
  <c r="E3731" i="32"/>
  <c r="E3724" i="32"/>
  <c r="E3130" i="32"/>
  <c r="E3119" i="32"/>
  <c r="E3107" i="32"/>
  <c r="E3094" i="32"/>
  <c r="E3082" i="32"/>
  <c r="E3083" i="32"/>
  <c r="E3084" i="32"/>
  <c r="E3081" i="32"/>
  <c r="E3071" i="32"/>
  <c r="E3059" i="32"/>
  <c r="E3047" i="32"/>
  <c r="E3037" i="32"/>
  <c r="E3027" i="32"/>
  <c r="E3016" i="32"/>
  <c r="E3005" i="32"/>
  <c r="E2993" i="32"/>
  <c r="E2979" i="32"/>
  <c r="E2968" i="32"/>
  <c r="E2957" i="32"/>
  <c r="E2945" i="32"/>
  <c r="E2933" i="32"/>
  <c r="E2919" i="32"/>
  <c r="E2921" i="32"/>
  <c r="E2908" i="32"/>
  <c r="E2896" i="32"/>
  <c r="E2884" i="32"/>
  <c r="E2870" i="32"/>
  <c r="E2858" i="32"/>
  <c r="E2847" i="32"/>
  <c r="E2822" i="32"/>
  <c r="E2810" i="32"/>
  <c r="E2800" i="32"/>
  <c r="E2789" i="32"/>
  <c r="E2786" i="32"/>
  <c r="E2776" i="32"/>
  <c r="E2766" i="32"/>
  <c r="E2825" i="32"/>
  <c r="E3790" i="32" l="1"/>
  <c r="E2813" i="32"/>
  <c r="E2801" i="32"/>
  <c r="E684" i="32"/>
  <c r="E706" i="32"/>
  <c r="E707" i="32"/>
  <c r="E688" i="32"/>
  <c r="E3805" i="32"/>
  <c r="E2834" i="32"/>
  <c r="E2756" i="32"/>
  <c r="E2740" i="32"/>
  <c r="E2741" i="32"/>
  <c r="E2742" i="32"/>
  <c r="E2743" i="32"/>
  <c r="E2744" i="32"/>
  <c r="E2745" i="32"/>
  <c r="E2739" i="32"/>
  <c r="E2728" i="32"/>
  <c r="E2727" i="32"/>
  <c r="E2717" i="32"/>
  <c r="E2716" i="32"/>
  <c r="E2704" i="32"/>
  <c r="E2692" i="32"/>
  <c r="E2680" i="32"/>
  <c r="E2668" i="32"/>
  <c r="E2656" i="32"/>
  <c r="E2644" i="32"/>
  <c r="E2632" i="32"/>
  <c r="G2632" i="32" s="1"/>
  <c r="E953" i="32" l="1"/>
  <c r="E709" i="32"/>
  <c r="E2612" i="32"/>
  <c r="E2620" i="32"/>
  <c r="E2598" i="32"/>
  <c r="E2586" i="32"/>
  <c r="E2574" i="32"/>
  <c r="E2562" i="32"/>
  <c r="E2550" i="32"/>
  <c r="E2537" i="32"/>
  <c r="E2526" i="32"/>
  <c r="E2514" i="32"/>
  <c r="E2502" i="32"/>
  <c r="E2503" i="32"/>
  <c r="E2490" i="32"/>
  <c r="E2477" i="32"/>
  <c r="E2466" i="32"/>
  <c r="E2454" i="32"/>
  <c r="E2429" i="32"/>
  <c r="E2440" i="32"/>
  <c r="E2430" i="32"/>
  <c r="E2419" i="32"/>
  <c r="E2418" i="32"/>
  <c r="E2408" i="32"/>
  <c r="E2395" i="32"/>
  <c r="E2384" i="32"/>
  <c r="E2372" i="32"/>
  <c r="E2360" i="32"/>
  <c r="E2347" i="32"/>
  <c r="E2335" i="32"/>
  <c r="E2324" i="32"/>
  <c r="E2312" i="32"/>
  <c r="E2298" i="32"/>
  <c r="E2286" i="32"/>
  <c r="E2274" i="32"/>
  <c r="E2262" i="32"/>
  <c r="E2252" i="32"/>
  <c r="E2240" i="32"/>
  <c r="E2226" i="32"/>
  <c r="E2214" i="32"/>
  <c r="E2202" i="32"/>
  <c r="E2190" i="32"/>
  <c r="E2180" i="32"/>
  <c r="E2164" i="32"/>
  <c r="E2154" i="32"/>
  <c r="E2151" i="32"/>
  <c r="E2139" i="32"/>
  <c r="E2141" i="32"/>
  <c r="E2138" i="32"/>
  <c r="E3416" i="32"/>
  <c r="E3414" i="32"/>
  <c r="E3402" i="32"/>
  <c r="E3392" i="32"/>
  <c r="E3380" i="32"/>
  <c r="E3381" i="32"/>
  <c r="E3370" i="32"/>
  <c r="E3369" i="32"/>
  <c r="E3368" i="32"/>
  <c r="E3358" i="32"/>
  <c r="E3347" i="32"/>
  <c r="E3346" i="32"/>
  <c r="E3345" i="32"/>
  <c r="E3344" i="32"/>
  <c r="E3334" i="32"/>
  <c r="E3323" i="32"/>
  <c r="E3336" i="32"/>
  <c r="E3325" i="32"/>
  <c r="E3322" i="32"/>
  <c r="E3312" i="32"/>
  <c r="E3311" i="32"/>
  <c r="E3310" i="32"/>
  <c r="E3308" i="32"/>
  <c r="E3307" i="32"/>
  <c r="E3298" i="32"/>
  <c r="E3297" i="32"/>
  <c r="E3293" i="32"/>
  <c r="E3296" i="32"/>
  <c r="E3284" i="32"/>
  <c r="E3274" i="32"/>
  <c r="E3265" i="32"/>
  <c r="E3264" i="32"/>
  <c r="E3263" i="32"/>
  <c r="E3232" i="32"/>
  <c r="E3231" i="32"/>
  <c r="E3230" i="32"/>
  <c r="E3220" i="32"/>
  <c r="E3219" i="32"/>
  <c r="E2527" i="32"/>
  <c r="E3209" i="32"/>
  <c r="E3208" i="32"/>
  <c r="E3187" i="32"/>
  <c r="E3178" i="32"/>
  <c r="E3177" i="32"/>
  <c r="E3176" i="32"/>
  <c r="E3167" i="32"/>
  <c r="E3146" i="32"/>
  <c r="E3145" i="32"/>
  <c r="E3144" i="32"/>
  <c r="E3143" i="32"/>
  <c r="E3142" i="32"/>
  <c r="E3141" i="32"/>
  <c r="E1941" i="32"/>
  <c r="E1933" i="32"/>
  <c r="E1932" i="32"/>
  <c r="E1931" i="32"/>
  <c r="E1923" i="32"/>
  <c r="E1914" i="32"/>
  <c r="E1894" i="32"/>
  <c r="E1884" i="32"/>
  <c r="E1874" i="32"/>
  <c r="E1864" i="32"/>
  <c r="E1856" i="32"/>
  <c r="E1846" i="32"/>
  <c r="E1838" i="32"/>
  <c r="E1837" i="32"/>
  <c r="E1826" i="32"/>
  <c r="E1825" i="32"/>
  <c r="E1824" i="32"/>
  <c r="E1823" i="32"/>
  <c r="E1822" i="32"/>
  <c r="E1821" i="32"/>
  <c r="E1819" i="32"/>
  <c r="E1809" i="32"/>
  <c r="E1799" i="32"/>
  <c r="E1789" i="32"/>
  <c r="E1779" i="32"/>
  <c r="E1769" i="32"/>
  <c r="E1759" i="32"/>
  <c r="E1749" i="32"/>
  <c r="E1739" i="32"/>
  <c r="E1728" i="32"/>
  <c r="E1708" i="32"/>
  <c r="E1698" i="32"/>
  <c r="E1697" i="32"/>
  <c r="E1687" i="32"/>
  <c r="E1686" i="32"/>
  <c r="E1676" i="32"/>
  <c r="E1636" i="32"/>
  <c r="E1627" i="32"/>
  <c r="E1617" i="32"/>
  <c r="E1607" i="32"/>
  <c r="E1597" i="32"/>
  <c r="E1587" i="32"/>
  <c r="E1577" i="32"/>
  <c r="E1567" i="32"/>
  <c r="E1556" i="32"/>
  <c r="E1546" i="32"/>
  <c r="E1536" i="32"/>
  <c r="E1526" i="32"/>
  <c r="E1516" i="32"/>
  <c r="E1506" i="32"/>
  <c r="E1496" i="32"/>
  <c r="E1495" i="32"/>
  <c r="E1485" i="32"/>
  <c r="E1475" i="32"/>
  <c r="E1465" i="32"/>
  <c r="E1392" i="32"/>
  <c r="E1382" i="32"/>
  <c r="E1372" i="32"/>
  <c r="E1362" i="32"/>
  <c r="E1340" i="32"/>
  <c r="E1318" i="32"/>
  <c r="E1274" i="32"/>
  <c r="E1266" i="32"/>
  <c r="E1265" i="32"/>
  <c r="E671" i="32"/>
  <c r="E673" i="32"/>
  <c r="E1264" i="32"/>
  <c r="E1256" i="32"/>
  <c r="E1255" i="32"/>
  <c r="E1254" i="32"/>
  <c r="E672" i="32"/>
  <c r="E661" i="32"/>
  <c r="E660" i="32"/>
  <c r="E659" i="32"/>
  <c r="E647" i="32"/>
  <c r="E674" i="32"/>
  <c r="E638" i="32"/>
  <c r="E636" i="32"/>
  <c r="E635" i="32"/>
  <c r="E625" i="32"/>
  <c r="E624" i="32"/>
  <c r="E1211" i="32"/>
  <c r="E1209" i="32"/>
  <c r="F1208" i="32"/>
  <c r="E1196" i="32"/>
  <c r="E1195" i="32"/>
  <c r="E1185" i="32"/>
  <c r="E1184" i="32"/>
  <c r="E1173" i="32"/>
  <c r="E650" i="32"/>
  <c r="E1175" i="32"/>
  <c r="E1174" i="32"/>
  <c r="E1164" i="32"/>
  <c r="E1161" i="32"/>
  <c r="E1149" i="32"/>
  <c r="E1148" i="32"/>
  <c r="E1341" i="32" l="1"/>
  <c r="E1319" i="32"/>
  <c r="E1275" i="32"/>
  <c r="E3179" i="32"/>
  <c r="E3210" i="32"/>
  <c r="E2152" i="32"/>
  <c r="E2194" i="32"/>
  <c r="E970" i="32"/>
  <c r="E3357" i="32"/>
  <c r="E3333" i="32"/>
  <c r="E2167" i="32"/>
  <c r="E1566" i="32"/>
  <c r="E3294" i="32"/>
  <c r="E3211" i="32"/>
  <c r="E2165" i="32"/>
  <c r="E2314" i="32"/>
  <c r="E3551" i="32"/>
  <c r="E1187" i="32"/>
  <c r="E639" i="32"/>
  <c r="E627" i="32"/>
  <c r="E1198" i="32"/>
  <c r="F1720" i="32"/>
  <c r="G1720" i="32" s="1"/>
  <c r="E1140" i="32"/>
  <c r="E1129" i="32"/>
  <c r="G1129" i="32" s="1"/>
  <c r="H1132" i="32" s="1"/>
  <c r="H1133" i="32" s="1"/>
  <c r="H1134" i="32" s="1"/>
  <c r="H1135" i="32" s="1"/>
  <c r="E137" i="39" s="1"/>
  <c r="F137" i="39" s="1"/>
  <c r="E770" i="32"/>
  <c r="E769" i="32"/>
  <c r="E768" i="32"/>
  <c r="E760" i="32"/>
  <c r="E749" i="32"/>
  <c r="E738" i="32"/>
  <c r="E737" i="32"/>
  <c r="E613" i="32"/>
  <c r="E567" i="32"/>
  <c r="E523" i="32"/>
  <c r="E522" i="32"/>
  <c r="E501" i="32"/>
  <c r="E500" i="32"/>
  <c r="E486" i="32"/>
  <c r="E487" i="32"/>
  <c r="E488" i="32"/>
  <c r="E490" i="32"/>
  <c r="E485" i="32"/>
  <c r="E476" i="32"/>
  <c r="E435" i="32"/>
  <c r="E434" i="32"/>
  <c r="E1829" i="32"/>
  <c r="E381" i="32"/>
  <c r="E380" i="32"/>
  <c r="E379" i="32"/>
  <c r="E489" i="32"/>
  <c r="E357" i="32"/>
  <c r="G357" i="32" s="1"/>
  <c r="E864" i="32"/>
  <c r="G864" i="32" s="1"/>
  <c r="E863" i="32"/>
  <c r="G863" i="32" s="1"/>
  <c r="E124" i="32"/>
  <c r="E123" i="32"/>
  <c r="G123" i="32" s="1"/>
  <c r="E121" i="32"/>
  <c r="E120" i="32"/>
  <c r="E119" i="32"/>
  <c r="E118" i="32"/>
  <c r="E117" i="32"/>
  <c r="E116" i="32"/>
  <c r="E229" i="32"/>
  <c r="G229" i="32" s="1"/>
  <c r="H231" i="32" s="1"/>
  <c r="H232" i="32" s="1"/>
  <c r="H233" i="32" s="1"/>
  <c r="H234" i="32" s="1"/>
  <c r="E36" i="39" s="1"/>
  <c r="F36" i="39" s="1"/>
  <c r="E106" i="32"/>
  <c r="E105" i="32"/>
  <c r="E104" i="32"/>
  <c r="E103" i="32"/>
  <c r="E102" i="32"/>
  <c r="E101" i="32"/>
  <c r="E100" i="32"/>
  <c r="E99" i="32"/>
  <c r="E98" i="32"/>
  <c r="E97" i="32"/>
  <c r="E96" i="32"/>
  <c r="E95" i="32"/>
  <c r="E86" i="32"/>
  <c r="E85" i="32"/>
  <c r="E84" i="32"/>
  <c r="E76" i="32"/>
  <c r="E75" i="32"/>
  <c r="E74" i="32"/>
  <c r="E73" i="32"/>
  <c r="E72" i="32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0" i="32"/>
  <c r="E49" i="32"/>
  <c r="E48" i="32"/>
  <c r="E47" i="32"/>
  <c r="E46" i="32"/>
  <c r="E45" i="32"/>
  <c r="E44" i="32"/>
  <c r="E43" i="32"/>
  <c r="E42" i="32"/>
  <c r="E41" i="32"/>
  <c r="E33" i="32"/>
  <c r="E32" i="32"/>
  <c r="E31" i="32"/>
  <c r="E30" i="32"/>
  <c r="E29" i="32"/>
  <c r="E28" i="32"/>
  <c r="E27" i="32"/>
  <c r="H866" i="32" l="1"/>
  <c r="H867" i="32" s="1"/>
  <c r="H868" i="32" s="1"/>
  <c r="H869" i="32" s="1"/>
  <c r="E110" i="39" s="1"/>
  <c r="E107" i="32"/>
  <c r="E51" i="39"/>
  <c r="E983" i="32"/>
  <c r="E3571" i="32"/>
  <c r="E3561" i="32"/>
  <c r="E3391" i="32"/>
  <c r="E2179" i="32"/>
  <c r="E566" i="32"/>
  <c r="E1820" i="32"/>
  <c r="E3306" i="32"/>
  <c r="E3221" i="32"/>
  <c r="E3348" i="32"/>
  <c r="E2326" i="32"/>
  <c r="E2177" i="32"/>
  <c r="E3222" i="32"/>
  <c r="E817" i="32"/>
  <c r="G817" i="32" s="1"/>
  <c r="E2140" i="32"/>
  <c r="E568" i="32"/>
  <c r="E524" i="32"/>
  <c r="E1117" i="32"/>
  <c r="G1117" i="32" s="1"/>
  <c r="E750" i="32"/>
  <c r="E491" i="32"/>
  <c r="E502" i="32"/>
  <c r="E1139" i="32"/>
  <c r="E1276" i="32"/>
  <c r="E1320" i="32"/>
  <c r="E658" i="32"/>
  <c r="E648" i="32"/>
  <c r="E1384" i="32"/>
  <c r="E1364" i="32"/>
  <c r="G303" i="32"/>
  <c r="G302" i="32"/>
  <c r="G301" i="32"/>
  <c r="G3336" i="32"/>
  <c r="G3334" i="32"/>
  <c r="G3333" i="32"/>
  <c r="E993" i="32" l="1"/>
  <c r="E3684" i="32"/>
  <c r="E3309" i="32"/>
  <c r="E3295" i="32"/>
  <c r="E840" i="32"/>
  <c r="E3233" i="32"/>
  <c r="E2191" i="32"/>
  <c r="E2337" i="32"/>
  <c r="E3372" i="32"/>
  <c r="E2153" i="32"/>
  <c r="E3360" i="32"/>
  <c r="E3276" i="32"/>
  <c r="E2192" i="32"/>
  <c r="E3589" i="32"/>
  <c r="H308" i="32"/>
  <c r="E748" i="32"/>
  <c r="E436" i="32"/>
  <c r="E626" i="32"/>
  <c r="E1210" i="32"/>
  <c r="E1374" i="32"/>
  <c r="E382" i="32"/>
  <c r="E1342" i="32"/>
  <c r="E614" i="32"/>
  <c r="E1162" i="32"/>
  <c r="H3337" i="32"/>
  <c r="E2204" i="32" l="1"/>
  <c r="E837" i="32"/>
  <c r="E796" i="32"/>
  <c r="E785" i="32"/>
  <c r="E2178" i="32"/>
  <c r="E2166" i="32"/>
  <c r="E2349" i="32"/>
  <c r="E2203" i="32"/>
  <c r="E3266" i="32"/>
  <c r="E935" i="32"/>
  <c r="E922" i="32"/>
  <c r="G922" i="32" s="1"/>
  <c r="E1394" i="32"/>
  <c r="E740" i="32"/>
  <c r="E1363" i="32"/>
  <c r="E1383" i="32"/>
  <c r="E1373" i="32"/>
  <c r="E1115" i="32"/>
  <c r="G1115" i="32" s="1"/>
  <c r="H1121" i="32" s="1"/>
  <c r="E771" i="32"/>
  <c r="E2215" i="32" l="1"/>
  <c r="E3275" i="32"/>
  <c r="E2373" i="32"/>
  <c r="E2362" i="32"/>
  <c r="E3394" i="32"/>
  <c r="E909" i="32"/>
  <c r="E798" i="32"/>
  <c r="E2216" i="32"/>
  <c r="E1487" i="32"/>
  <c r="E1467" i="32"/>
  <c r="E468" i="32"/>
  <c r="E1393" i="32"/>
  <c r="E1403" i="32"/>
  <c r="G1403" i="32" s="1"/>
  <c r="H1405" i="32" s="1"/>
  <c r="H1406" i="32" s="1"/>
  <c r="H1407" i="32" s="1"/>
  <c r="H1408" i="32" s="1"/>
  <c r="E167" i="39" s="1"/>
  <c r="F167" i="39" s="1"/>
  <c r="E752" i="32"/>
  <c r="G436" i="32"/>
  <c r="H438" i="32" s="1"/>
  <c r="G435" i="32"/>
  <c r="G434" i="32"/>
  <c r="E2228" i="32" l="1"/>
  <c r="E919" i="32"/>
  <c r="E3404" i="32"/>
  <c r="E2250" i="32"/>
  <c r="E2227" i="32"/>
  <c r="E2385" i="32"/>
  <c r="E3324" i="32"/>
  <c r="E1477" i="32"/>
  <c r="E1120" i="32"/>
  <c r="G1120" i="32" s="1"/>
  <c r="E773" i="32"/>
  <c r="E1160" i="32"/>
  <c r="E1150" i="32"/>
  <c r="E477" i="32"/>
  <c r="H437" i="32"/>
  <c r="H439" i="32" s="1"/>
  <c r="H1431" i="32"/>
  <c r="G1420" i="32"/>
  <c r="H1422" i="32" s="1"/>
  <c r="G1411" i="32"/>
  <c r="H1413" i="32" s="1"/>
  <c r="H440" i="32" l="1"/>
  <c r="H441" i="32" s="1"/>
  <c r="E2398" i="32"/>
  <c r="E2238" i="32"/>
  <c r="E3335" i="32"/>
  <c r="G3335" i="32" s="1"/>
  <c r="H3338" i="32" s="1"/>
  <c r="E2142" i="32"/>
  <c r="E981" i="32"/>
  <c r="E961" i="32"/>
  <c r="E843" i="32"/>
  <c r="E2239" i="32"/>
  <c r="E1507" i="32"/>
  <c r="E1497" i="32"/>
  <c r="E1412" i="32"/>
  <c r="G1412" i="32" s="1"/>
  <c r="H1414" i="32" s="1"/>
  <c r="E492" i="32"/>
  <c r="G674" i="32"/>
  <c r="G673" i="32"/>
  <c r="G672" i="32"/>
  <c r="G671" i="32"/>
  <c r="E60" i="39" l="1"/>
  <c r="E2746" i="32"/>
  <c r="E2049" i="32"/>
  <c r="G2049" i="32" s="1"/>
  <c r="H1415" i="32"/>
  <c r="H3339" i="32"/>
  <c r="H3340" i="32" s="1"/>
  <c r="E2263" i="32"/>
  <c r="E2251" i="32"/>
  <c r="E1102" i="32"/>
  <c r="E2156" i="32"/>
  <c r="E3349" i="32"/>
  <c r="E3371" i="32"/>
  <c r="E2410" i="32"/>
  <c r="E1518" i="32"/>
  <c r="E1528" i="32"/>
  <c r="E503" i="32"/>
  <c r="E1421" i="32"/>
  <c r="G1421" i="32" s="1"/>
  <c r="H1423" i="32" s="1"/>
  <c r="E1151" i="32"/>
  <c r="H675" i="32"/>
  <c r="H676" i="32"/>
  <c r="H1416" i="32" l="1"/>
  <c r="H1417" i="32" s="1"/>
  <c r="E168" i="39" s="1"/>
  <c r="F168" i="39" s="1"/>
  <c r="H3341" i="32"/>
  <c r="E352" i="39" s="1"/>
  <c r="F352" i="39" s="1"/>
  <c r="E1538" i="32"/>
  <c r="E2540" i="32"/>
  <c r="E3359" i="32"/>
  <c r="E2168" i="32"/>
  <c r="E874" i="32"/>
  <c r="G874" i="32" s="1"/>
  <c r="E2276" i="32"/>
  <c r="E2264" i="32"/>
  <c r="E2275" i="32"/>
  <c r="E1439" i="32"/>
  <c r="G1439" i="32" s="1"/>
  <c r="H1441" i="32" s="1"/>
  <c r="H1442" i="32" s="1"/>
  <c r="H1443" i="32" s="1"/>
  <c r="H1444" i="32" s="1"/>
  <c r="E171" i="39" s="1"/>
  <c r="F171" i="39" s="1"/>
  <c r="E1430" i="32"/>
  <c r="G1430" i="32" s="1"/>
  <c r="H1432" i="32" s="1"/>
  <c r="E1163" i="32"/>
  <c r="H1424" i="32"/>
  <c r="H1425" i="32" s="1"/>
  <c r="E525" i="32"/>
  <c r="H677" i="32"/>
  <c r="G3325" i="32"/>
  <c r="G3324" i="32"/>
  <c r="G3323" i="32"/>
  <c r="G3322" i="32"/>
  <c r="H678" i="32" l="1"/>
  <c r="H679" i="32" s="1"/>
  <c r="E85" i="39" s="1"/>
  <c r="F85" i="39" s="1"/>
  <c r="E2299" i="32"/>
  <c r="E2287" i="32"/>
  <c r="E1568" i="32"/>
  <c r="E1548" i="32"/>
  <c r="E2311" i="32"/>
  <c r="E2288" i="32"/>
  <c r="E2181" i="32"/>
  <c r="E3383" i="32"/>
  <c r="E2552" i="32"/>
  <c r="H1433" i="32"/>
  <c r="H1434" i="32" s="1"/>
  <c r="E1486" i="32"/>
  <c r="E1476" i="32"/>
  <c r="E1466" i="32"/>
  <c r="E569" i="32"/>
  <c r="H1426" i="32"/>
  <c r="E169" i="39" s="1"/>
  <c r="F169" i="39" s="1"/>
  <c r="E1197" i="32"/>
  <c r="H3326" i="32"/>
  <c r="H3327" i="32"/>
  <c r="G3466" i="32"/>
  <c r="G3465" i="32"/>
  <c r="E2564" i="32" l="1"/>
  <c r="E3393" i="32"/>
  <c r="E2300" i="32"/>
  <c r="E1579" i="32"/>
  <c r="E2206" i="32"/>
  <c r="E2322" i="32"/>
  <c r="E2310" i="32"/>
  <c r="H1435" i="32"/>
  <c r="E170" i="39" s="1"/>
  <c r="F170" i="39" s="1"/>
  <c r="E1527" i="32"/>
  <c r="E1457" i="32"/>
  <c r="G1457" i="32" s="1"/>
  <c r="H1459" i="32" s="1"/>
  <c r="H1460" i="32" s="1"/>
  <c r="H1461" i="32" s="1"/>
  <c r="H1462" i="32" s="1"/>
  <c r="E173" i="39" s="1"/>
  <c r="F173" i="39" s="1"/>
  <c r="E1517" i="32"/>
  <c r="E1498" i="32"/>
  <c r="E663" i="32"/>
  <c r="E615" i="32"/>
  <c r="H3467" i="32"/>
  <c r="H3469" i="32" s="1"/>
  <c r="H3328" i="32"/>
  <c r="H3329" i="32" s="1"/>
  <c r="E1508" i="32" l="1"/>
  <c r="E1448" i="32"/>
  <c r="G1448" i="32" s="1"/>
  <c r="H1450" i="32" s="1"/>
  <c r="H1451" i="32" s="1"/>
  <c r="H1452" i="32" s="1"/>
  <c r="H1453" i="32" s="1"/>
  <c r="E172" i="39" s="1"/>
  <c r="F172" i="39" s="1"/>
  <c r="H3470" i="32"/>
  <c r="H3471" i="32" s="1"/>
  <c r="E366" i="39" s="1"/>
  <c r="F366" i="39" s="1"/>
  <c r="E1599" i="32"/>
  <c r="E1589" i="32"/>
  <c r="E2323" i="32"/>
  <c r="E649" i="32"/>
  <c r="E1537" i="32"/>
  <c r="E2334" i="32"/>
  <c r="E2218" i="32"/>
  <c r="E3405" i="32"/>
  <c r="E2576" i="32"/>
  <c r="E739" i="32"/>
  <c r="H3330" i="32"/>
  <c r="E351" i="39" s="1"/>
  <c r="F351" i="39" s="1"/>
  <c r="G923" i="32"/>
  <c r="G921" i="32"/>
  <c r="G919" i="32"/>
  <c r="E2143" i="32" l="1"/>
  <c r="E2242" i="32"/>
  <c r="E2230" i="32"/>
  <c r="E2336" i="32"/>
  <c r="E2587" i="32"/>
  <c r="E2370" i="32"/>
  <c r="E2346" i="32"/>
  <c r="E1547" i="32"/>
  <c r="E1828" i="32"/>
  <c r="E1619" i="32"/>
  <c r="E751" i="32"/>
  <c r="D110" i="17"/>
  <c r="G852" i="32"/>
  <c r="H854" i="32" s="1"/>
  <c r="G851" i="32"/>
  <c r="H853" i="32" s="1"/>
  <c r="D107" i="39" l="1"/>
  <c r="E2371" i="32"/>
  <c r="G2371" i="32" s="1"/>
  <c r="E2348" i="32"/>
  <c r="G2348" i="32" s="1"/>
  <c r="E1629" i="32"/>
  <c r="G1629" i="32" s="1"/>
  <c r="E3313" i="32"/>
  <c r="G3313" i="32" s="1"/>
  <c r="E3188" i="32"/>
  <c r="G3188" i="32" s="1"/>
  <c r="E1569" i="32"/>
  <c r="G1569" i="32" s="1"/>
  <c r="E1557" i="32"/>
  <c r="G1557" i="32" s="1"/>
  <c r="E2358" i="32"/>
  <c r="G2358" i="32" s="1"/>
  <c r="E2600" i="32"/>
  <c r="G2600" i="32" s="1"/>
  <c r="E2609" i="32"/>
  <c r="G2609" i="32" s="1"/>
  <c r="E2254" i="32"/>
  <c r="G2254" i="32" s="1"/>
  <c r="E2155" i="32"/>
  <c r="G2155" i="32" s="1"/>
  <c r="E772" i="32"/>
  <c r="E1119" i="32"/>
  <c r="G1119" i="32" s="1"/>
  <c r="H1122" i="32" s="1"/>
  <c r="H1123" i="32" s="1"/>
  <c r="H1124" i="32" s="1"/>
  <c r="H1125" i="32" s="1"/>
  <c r="E136" i="39" s="1"/>
  <c r="F136" i="39" s="1"/>
  <c r="H855" i="32"/>
  <c r="G1211" i="32"/>
  <c r="G1210" i="32"/>
  <c r="G1209" i="32"/>
  <c r="G1208" i="32"/>
  <c r="G89" i="22"/>
  <c r="G88" i="22"/>
  <c r="G87" i="22"/>
  <c r="G86" i="22"/>
  <c r="G85" i="22"/>
  <c r="G84" i="22"/>
  <c r="G83" i="22"/>
  <c r="G82" i="22"/>
  <c r="G81" i="22"/>
  <c r="G80" i="22"/>
  <c r="G79" i="22"/>
  <c r="G78" i="22"/>
  <c r="G77" i="22"/>
  <c r="G76" i="22"/>
  <c r="G3714" i="32"/>
  <c r="H3715" i="32" s="1"/>
  <c r="G3684" i="32"/>
  <c r="G3683" i="32"/>
  <c r="H3686" i="32" s="1"/>
  <c r="G3675" i="32"/>
  <c r="H3676" i="32" s="1"/>
  <c r="G3667" i="32"/>
  <c r="H3668" i="32" s="1"/>
  <c r="G993" i="32"/>
  <c r="G991" i="32"/>
  <c r="G983" i="32"/>
  <c r="G981" i="32"/>
  <c r="G980" i="32"/>
  <c r="G979" i="32"/>
  <c r="G970" i="32"/>
  <c r="G969" i="32"/>
  <c r="G968" i="32"/>
  <c r="G967" i="32"/>
  <c r="G966" i="32"/>
  <c r="G965" i="32"/>
  <c r="G964" i="32"/>
  <c r="G963" i="32"/>
  <c r="G962" i="32"/>
  <c r="G961" i="32"/>
  <c r="G953" i="32"/>
  <c r="G951" i="32"/>
  <c r="G950" i="32"/>
  <c r="G949" i="32"/>
  <c r="G948" i="32"/>
  <c r="G947" i="32"/>
  <c r="G946" i="32"/>
  <c r="G945" i="32"/>
  <c r="G937" i="32"/>
  <c r="G935" i="32"/>
  <c r="G934" i="32"/>
  <c r="G933" i="32"/>
  <c r="G932" i="32"/>
  <c r="G911" i="32"/>
  <c r="G909" i="32"/>
  <c r="G908" i="32"/>
  <c r="G907" i="32"/>
  <c r="G906" i="32"/>
  <c r="G898" i="32"/>
  <c r="G896" i="32"/>
  <c r="G3644" i="32"/>
  <c r="H3651" i="32" s="1"/>
  <c r="G3630" i="32"/>
  <c r="G3626" i="32"/>
  <c r="G3625" i="32"/>
  <c r="G3624" i="32"/>
  <c r="G3604" i="32"/>
  <c r="H3611" i="32" s="1"/>
  <c r="H875" i="32"/>
  <c r="G1102" i="32"/>
  <c r="G1100" i="32"/>
  <c r="H1103" i="32" s="1"/>
  <c r="G1092" i="32"/>
  <c r="G1090" i="32"/>
  <c r="G1089" i="32"/>
  <c r="G1081" i="32"/>
  <c r="G1079" i="32"/>
  <c r="G1078" i="32"/>
  <c r="G1077" i="32"/>
  <c r="G1076" i="32"/>
  <c r="G1067" i="32"/>
  <c r="G1066" i="32"/>
  <c r="G1065" i="32"/>
  <c r="G1064" i="32"/>
  <c r="G1063" i="32"/>
  <c r="G1054" i="32"/>
  <c r="G1053" i="32"/>
  <c r="G1043" i="32"/>
  <c r="G1042" i="32"/>
  <c r="H1045" i="32" s="1"/>
  <c r="G1033" i="32"/>
  <c r="G1032" i="32"/>
  <c r="G1244" i="32"/>
  <c r="G1243" i="32"/>
  <c r="G1242" i="32"/>
  <c r="G1241" i="32"/>
  <c r="G1240" i="32"/>
  <c r="G1239" i="32"/>
  <c r="G1231" i="32"/>
  <c r="G1229" i="32"/>
  <c r="G1228" i="32"/>
  <c r="G843" i="32"/>
  <c r="G841" i="32"/>
  <c r="G840" i="32"/>
  <c r="G839" i="32"/>
  <c r="G838" i="32"/>
  <c r="G837" i="32"/>
  <c r="G829" i="32"/>
  <c r="G828" i="32"/>
  <c r="G819" i="32"/>
  <c r="G818" i="32"/>
  <c r="G816" i="32"/>
  <c r="G808" i="32"/>
  <c r="G806" i="32"/>
  <c r="H809" i="32" s="1"/>
  <c r="G798" i="32"/>
  <c r="G796" i="32"/>
  <c r="G795" i="32"/>
  <c r="G794" i="32"/>
  <c r="G793" i="32"/>
  <c r="G785" i="32"/>
  <c r="G783" i="32"/>
  <c r="G782" i="32"/>
  <c r="G3589" i="32"/>
  <c r="H3591" i="32" s="1"/>
  <c r="G3588" i="32"/>
  <c r="H3590" i="32" s="1"/>
  <c r="G3580" i="32"/>
  <c r="H3582" i="32" s="1"/>
  <c r="G3579" i="32"/>
  <c r="H3581" i="32" s="1"/>
  <c r="G3571" i="32"/>
  <c r="H3573" i="32" s="1"/>
  <c r="G3570" i="32"/>
  <c r="H3572" i="32" s="1"/>
  <c r="G3561" i="32"/>
  <c r="G3560" i="32"/>
  <c r="H3563" i="32" s="1"/>
  <c r="G3551" i="32"/>
  <c r="G3550" i="32"/>
  <c r="H3553" i="32" s="1"/>
  <c r="G3542" i="32"/>
  <c r="G3541" i="32"/>
  <c r="G3540" i="32"/>
  <c r="H3543" i="32" s="1"/>
  <c r="G3532" i="32"/>
  <c r="G3531" i="32"/>
  <c r="G3530" i="32"/>
  <c r="H3533" i="32" s="1"/>
  <c r="G3522" i="32"/>
  <c r="G3521" i="32"/>
  <c r="G3520" i="32"/>
  <c r="H3523" i="32" s="1"/>
  <c r="G3512" i="32"/>
  <c r="G3511" i="32"/>
  <c r="G3510" i="32"/>
  <c r="H3513" i="32" s="1"/>
  <c r="G3502" i="32"/>
  <c r="G3501" i="32"/>
  <c r="G3500" i="32"/>
  <c r="H3503" i="32" s="1"/>
  <c r="G3490" i="32"/>
  <c r="H3493" i="32" s="1"/>
  <c r="G3482" i="32"/>
  <c r="G3479" i="32"/>
  <c r="G3478" i="32"/>
  <c r="G3477" i="32"/>
  <c r="G3476" i="32"/>
  <c r="G3475" i="32"/>
  <c r="G3474" i="32"/>
  <c r="G3455" i="32"/>
  <c r="H3458" i="32" s="1"/>
  <c r="G3445" i="32"/>
  <c r="H3448" i="32" s="1"/>
  <c r="G3435" i="32"/>
  <c r="H3438" i="32" s="1"/>
  <c r="G3425" i="32"/>
  <c r="H3428" i="32" s="1"/>
  <c r="G728" i="32"/>
  <c r="H730" i="32" s="1"/>
  <c r="G727" i="32"/>
  <c r="H729" i="32" s="1"/>
  <c r="G719" i="32"/>
  <c r="H721" i="32" s="1"/>
  <c r="G718" i="32"/>
  <c r="G717" i="32"/>
  <c r="G709" i="32"/>
  <c r="G707" i="32"/>
  <c r="G706" i="32"/>
  <c r="G697" i="32"/>
  <c r="G696" i="32"/>
  <c r="G688" i="32"/>
  <c r="G686" i="32"/>
  <c r="G685" i="32"/>
  <c r="G684" i="32"/>
  <c r="G683" i="32"/>
  <c r="G3805" i="32"/>
  <c r="G3803" i="32"/>
  <c r="G3800" i="32"/>
  <c r="G3799" i="32"/>
  <c r="G3791" i="32"/>
  <c r="G3790" i="32"/>
  <c r="G3786" i="32"/>
  <c r="G3785" i="32"/>
  <c r="G3775" i="32"/>
  <c r="G3774" i="32"/>
  <c r="G3764" i="32"/>
  <c r="H3767" i="32" s="1"/>
  <c r="G3753" i="32"/>
  <c r="G3742" i="32"/>
  <c r="G3731" i="32"/>
  <c r="G3730" i="32"/>
  <c r="G3729" i="32"/>
  <c r="G3728" i="32"/>
  <c r="G3727" i="32"/>
  <c r="G3726" i="32"/>
  <c r="G3725" i="32"/>
  <c r="G3724" i="32"/>
  <c r="G3130" i="32"/>
  <c r="H3133" i="32" s="1"/>
  <c r="G3119" i="32"/>
  <c r="G3107" i="32"/>
  <c r="G3094" i="32"/>
  <c r="G3084" i="32"/>
  <c r="G3083" i="32"/>
  <c r="G3082" i="32"/>
  <c r="G3081" i="32"/>
  <c r="G3071" i="32"/>
  <c r="G3059" i="32"/>
  <c r="G3047" i="32"/>
  <c r="H3050" i="32" s="1"/>
  <c r="G3037" i="32"/>
  <c r="H3040" i="32" s="1"/>
  <c r="G3027" i="32"/>
  <c r="H3030" i="32" s="1"/>
  <c r="G3016" i="32"/>
  <c r="G3005" i="32"/>
  <c r="G2993" i="32"/>
  <c r="G2979" i="32"/>
  <c r="G2968" i="32"/>
  <c r="G2957" i="32"/>
  <c r="G2945" i="32"/>
  <c r="G2933" i="32"/>
  <c r="G2921" i="32"/>
  <c r="G2919" i="32"/>
  <c r="G2908" i="32"/>
  <c r="G2896" i="32"/>
  <c r="G2884" i="32"/>
  <c r="G2870" i="32"/>
  <c r="G2858" i="32"/>
  <c r="G2847" i="32"/>
  <c r="G2834" i="32"/>
  <c r="G2825" i="32"/>
  <c r="G2822" i="32"/>
  <c r="G2813" i="32"/>
  <c r="G2810" i="32"/>
  <c r="G2801" i="32"/>
  <c r="G2800" i="32"/>
  <c r="G2789" i="32"/>
  <c r="G2786" i="32"/>
  <c r="G2776" i="32"/>
  <c r="H2779" i="32" s="1"/>
  <c r="G2766" i="32"/>
  <c r="H2769" i="32" s="1"/>
  <c r="G2756" i="32"/>
  <c r="G2746" i="32"/>
  <c r="G2745" i="32"/>
  <c r="G2744" i="32"/>
  <c r="G2743" i="32"/>
  <c r="G2742" i="32"/>
  <c r="G2741" i="32"/>
  <c r="G2740" i="32"/>
  <c r="G2739" i="32"/>
  <c r="G2728" i="32"/>
  <c r="G2727" i="32"/>
  <c r="G2717" i="32"/>
  <c r="G2716" i="32"/>
  <c r="G2704" i="32"/>
  <c r="G2692" i="32"/>
  <c r="G2680" i="32"/>
  <c r="G2668" i="32"/>
  <c r="G2656" i="32"/>
  <c r="G2644" i="32"/>
  <c r="G2620" i="32"/>
  <c r="G2612" i="32"/>
  <c r="G2598" i="32"/>
  <c r="G2587" i="32"/>
  <c r="G2586" i="32"/>
  <c r="G2576" i="32"/>
  <c r="G2574" i="32"/>
  <c r="G2564" i="32"/>
  <c r="G2562" i="32"/>
  <c r="G2552" i="32"/>
  <c r="G2550" i="32"/>
  <c r="G2540" i="32"/>
  <c r="G2537" i="32"/>
  <c r="G2527" i="32"/>
  <c r="G2526" i="32"/>
  <c r="G2514" i="32"/>
  <c r="G2503" i="32"/>
  <c r="G2502" i="32"/>
  <c r="G2490" i="32"/>
  <c r="G2477" i="32"/>
  <c r="G2466" i="32"/>
  <c r="G2454" i="32"/>
  <c r="G2440" i="32"/>
  <c r="G2430" i="32"/>
  <c r="G2429" i="32"/>
  <c r="G2419" i="32"/>
  <c r="G2418" i="32"/>
  <c r="G2410" i="32"/>
  <c r="G2408" i="32"/>
  <c r="G2398" i="32"/>
  <c r="G2395" i="32"/>
  <c r="G2385" i="32"/>
  <c r="G2384" i="32"/>
  <c r="G2373" i="32"/>
  <c r="G2372" i="32"/>
  <c r="G2370" i="32"/>
  <c r="G2362" i="32"/>
  <c r="G2360" i="32"/>
  <c r="G2349" i="32"/>
  <c r="G2347" i="32"/>
  <c r="G2346" i="32"/>
  <c r="G2337" i="32"/>
  <c r="G2336" i="32"/>
  <c r="G2335" i="32"/>
  <c r="G2334" i="32"/>
  <c r="G2326" i="32"/>
  <c r="G2324" i="32"/>
  <c r="G2323" i="32"/>
  <c r="G2322" i="32"/>
  <c r="G2314" i="32"/>
  <c r="G2312" i="32"/>
  <c r="G2311" i="32"/>
  <c r="G2310" i="32"/>
  <c r="G2300" i="32"/>
  <c r="G2299" i="32"/>
  <c r="G2298" i="32"/>
  <c r="G2288" i="32"/>
  <c r="G2287" i="32"/>
  <c r="G2286" i="32"/>
  <c r="G2276" i="32"/>
  <c r="G2275" i="32"/>
  <c r="G2274" i="32"/>
  <c r="G2264" i="32"/>
  <c r="G2263" i="32"/>
  <c r="G2262" i="32"/>
  <c r="G2252" i="32"/>
  <c r="G2251" i="32"/>
  <c r="G2250" i="32"/>
  <c r="G2242" i="32"/>
  <c r="G2240" i="32"/>
  <c r="G2239" i="32"/>
  <c r="G2238" i="32"/>
  <c r="G2230" i="32"/>
  <c r="G2228" i="32"/>
  <c r="G2227" i="32"/>
  <c r="G2226" i="32"/>
  <c r="G2218" i="32"/>
  <c r="G2216" i="32"/>
  <c r="G2215" i="32"/>
  <c r="G2214" i="32"/>
  <c r="G2206" i="32"/>
  <c r="G2204" i="32"/>
  <c r="G2203" i="32"/>
  <c r="G2202" i="32"/>
  <c r="G2194" i="32"/>
  <c r="G2192" i="32"/>
  <c r="G2191" i="32"/>
  <c r="G2190" i="32"/>
  <c r="G2181" i="32"/>
  <c r="G2180" i="32"/>
  <c r="G2179" i="32"/>
  <c r="G2178" i="32"/>
  <c r="G2177" i="32"/>
  <c r="G2168" i="32"/>
  <c r="G2167" i="32"/>
  <c r="G2166" i="32"/>
  <c r="G2165" i="32"/>
  <c r="G2164" i="32"/>
  <c r="G2156" i="32"/>
  <c r="G2154" i="32"/>
  <c r="G2153" i="32"/>
  <c r="G2152" i="32"/>
  <c r="G2151" i="32"/>
  <c r="G2143" i="32"/>
  <c r="G2142" i="32"/>
  <c r="G2141" i="32"/>
  <c r="G2140" i="32"/>
  <c r="G2139" i="32"/>
  <c r="G2138" i="32"/>
  <c r="G3416" i="32"/>
  <c r="G3415" i="32"/>
  <c r="G3414" i="32"/>
  <c r="G3413" i="32"/>
  <c r="G3405" i="32"/>
  <c r="G3404" i="32"/>
  <c r="G3403" i="32"/>
  <c r="G3402" i="32"/>
  <c r="G3394" i="32"/>
  <c r="G3393" i="32"/>
  <c r="G3392" i="32"/>
  <c r="G3391" i="32"/>
  <c r="G3383" i="32"/>
  <c r="G3382" i="32"/>
  <c r="G3381" i="32"/>
  <c r="G3380" i="32"/>
  <c r="G3372" i="32"/>
  <c r="G3371" i="32"/>
  <c r="G3370" i="32"/>
  <c r="G3369" i="32"/>
  <c r="G3368" i="32"/>
  <c r="G3360" i="32"/>
  <c r="G3359" i="32"/>
  <c r="G3358" i="32"/>
  <c r="G3357" i="32"/>
  <c r="G3349" i="32"/>
  <c r="G3348" i="32"/>
  <c r="G3347" i="32"/>
  <c r="G3346" i="32"/>
  <c r="G3345" i="32"/>
  <c r="G3344" i="32"/>
  <c r="G3312" i="32"/>
  <c r="G3311" i="32"/>
  <c r="G3310" i="32"/>
  <c r="G3309" i="32"/>
  <c r="G3308" i="32"/>
  <c r="G3307" i="32"/>
  <c r="G3306" i="32"/>
  <c r="G3298" i="32"/>
  <c r="G3297" i="32"/>
  <c r="G3296" i="32"/>
  <c r="G3295" i="32"/>
  <c r="G3294" i="32"/>
  <c r="G3293" i="32"/>
  <c r="G3284" i="32"/>
  <c r="H3286" i="32" s="1"/>
  <c r="G3276" i="32"/>
  <c r="G3275" i="32"/>
  <c r="G3274" i="32"/>
  <c r="H3277" i="32" s="1"/>
  <c r="G3266" i="32"/>
  <c r="G3265" i="32"/>
  <c r="G3264" i="32"/>
  <c r="G3263" i="32"/>
  <c r="G3244" i="32"/>
  <c r="G3243" i="32"/>
  <c r="G3242" i="32"/>
  <c r="G3241" i="32"/>
  <c r="G3233" i="32"/>
  <c r="G3232" i="32"/>
  <c r="G3231" i="32"/>
  <c r="G3230" i="32"/>
  <c r="G3222" i="32"/>
  <c r="G3221" i="32"/>
  <c r="G3220" i="32"/>
  <c r="G3219" i="32"/>
  <c r="G3211" i="32"/>
  <c r="G3210" i="32"/>
  <c r="G3209" i="32"/>
  <c r="G3208" i="32"/>
  <c r="G3198" i="32"/>
  <c r="G3197" i="32"/>
  <c r="G3187" i="32"/>
  <c r="H3190" i="32" s="1"/>
  <c r="G3179" i="32"/>
  <c r="G3178" i="32"/>
  <c r="G3177" i="32"/>
  <c r="G3176" i="32"/>
  <c r="G3167" i="32"/>
  <c r="H3169" i="32" s="1"/>
  <c r="G3146" i="32"/>
  <c r="G3145" i="32"/>
  <c r="G3144" i="32"/>
  <c r="G3143" i="32"/>
  <c r="G3142" i="32"/>
  <c r="G3141" i="32"/>
  <c r="G1941" i="32"/>
  <c r="H1944" i="32" s="1"/>
  <c r="G1933" i="32"/>
  <c r="G1932" i="32"/>
  <c r="G1931" i="32"/>
  <c r="H1934" i="32" s="1"/>
  <c r="G1923" i="32"/>
  <c r="H1924" i="32" s="1"/>
  <c r="H1916" i="32"/>
  <c r="G1914" i="32"/>
  <c r="G1894" i="32"/>
  <c r="H1897" i="32" s="1"/>
  <c r="G1884" i="32"/>
  <c r="H1887" i="32" s="1"/>
  <c r="G1874" i="32"/>
  <c r="H1877" i="32" s="1"/>
  <c r="G1864" i="32"/>
  <c r="H1866" i="32" s="1"/>
  <c r="G1856" i="32"/>
  <c r="H1857" i="32" s="1"/>
  <c r="G1846" i="32"/>
  <c r="H1849" i="32" s="1"/>
  <c r="G1838" i="32"/>
  <c r="G1837" i="32"/>
  <c r="G1829" i="32"/>
  <c r="G1828" i="32"/>
  <c r="G1826" i="32"/>
  <c r="G1825" i="32"/>
  <c r="G1824" i="32"/>
  <c r="G1823" i="32"/>
  <c r="G1822" i="32"/>
  <c r="G1821" i="32"/>
  <c r="G1820" i="32"/>
  <c r="G1819" i="32"/>
  <c r="G1809" i="32"/>
  <c r="H1812" i="32" s="1"/>
  <c r="G1799" i="32"/>
  <c r="H1802" i="32" s="1"/>
  <c r="G1789" i="32"/>
  <c r="H1792" i="32" s="1"/>
  <c r="G1779" i="32"/>
  <c r="H1782" i="32" s="1"/>
  <c r="G1769" i="32"/>
  <c r="H1772" i="32" s="1"/>
  <c r="G1759" i="32"/>
  <c r="H1762" i="32" s="1"/>
  <c r="G1749" i="32"/>
  <c r="H1752" i="32" s="1"/>
  <c r="G1739" i="32"/>
  <c r="H1742" i="32" s="1"/>
  <c r="G1728" i="32"/>
  <c r="H1731" i="32" s="1"/>
  <c r="G1708" i="32"/>
  <c r="H1711" i="32" s="1"/>
  <c r="G1698" i="32"/>
  <c r="G1697" i="32"/>
  <c r="G1687" i="32"/>
  <c r="G1686" i="32"/>
  <c r="G1676" i="32"/>
  <c r="H1679" i="32" s="1"/>
  <c r="G1666" i="32"/>
  <c r="H1669" i="32" s="1"/>
  <c r="G1636" i="32"/>
  <c r="H1639" i="32" s="1"/>
  <c r="G1627" i="32"/>
  <c r="H1630" i="32" s="1"/>
  <c r="G1619" i="32"/>
  <c r="G1617" i="32"/>
  <c r="H1620" i="32" s="1"/>
  <c r="G1607" i="32"/>
  <c r="H1610" i="32" s="1"/>
  <c r="G1599" i="32"/>
  <c r="G1597" i="32"/>
  <c r="H1600" i="32" s="1"/>
  <c r="G1589" i="32"/>
  <c r="G1587" i="32"/>
  <c r="H1590" i="32" s="1"/>
  <c r="G1579" i="32"/>
  <c r="G1577" i="32"/>
  <c r="H1580" i="32" s="1"/>
  <c r="G1568" i="32"/>
  <c r="G1567" i="32"/>
  <c r="G1566" i="32"/>
  <c r="G1556" i="32"/>
  <c r="H1559" i="32" s="1"/>
  <c r="G1548" i="32"/>
  <c r="G1547" i="32"/>
  <c r="G1546" i="32"/>
  <c r="H1549" i="32" s="1"/>
  <c r="G1538" i="32"/>
  <c r="G1537" i="32"/>
  <c r="G1536" i="32"/>
  <c r="H1539" i="32" s="1"/>
  <c r="G1528" i="32"/>
  <c r="G1527" i="32"/>
  <c r="G1526" i="32"/>
  <c r="H1529" i="32" s="1"/>
  <c r="G1518" i="32"/>
  <c r="G1517" i="32"/>
  <c r="G1516" i="32"/>
  <c r="H1519" i="32" s="1"/>
  <c r="G1508" i="32"/>
  <c r="G1507" i="32"/>
  <c r="G1506" i="32"/>
  <c r="H1509" i="32" s="1"/>
  <c r="G1498" i="32"/>
  <c r="G1497" i="32"/>
  <c r="G1496" i="32"/>
  <c r="G1495" i="32"/>
  <c r="G1487" i="32"/>
  <c r="G1486" i="32"/>
  <c r="G1485" i="32"/>
  <c r="H1488" i="32" s="1"/>
  <c r="G1477" i="32"/>
  <c r="G1476" i="32"/>
  <c r="G1475" i="32"/>
  <c r="H1478" i="32" s="1"/>
  <c r="G1467" i="32"/>
  <c r="G1466" i="32"/>
  <c r="G1465" i="32"/>
  <c r="H1468" i="32" s="1"/>
  <c r="G1394" i="32"/>
  <c r="G1393" i="32"/>
  <c r="G1392" i="32"/>
  <c r="H1395" i="32" s="1"/>
  <c r="G1384" i="32"/>
  <c r="G1383" i="32"/>
  <c r="G1382" i="32"/>
  <c r="H1385" i="32" s="1"/>
  <c r="G1374" i="32"/>
  <c r="G1373" i="32"/>
  <c r="G1372" i="32"/>
  <c r="H1375" i="32" s="1"/>
  <c r="G1364" i="32"/>
  <c r="G1363" i="32"/>
  <c r="G1362" i="32"/>
  <c r="H1365" i="32" s="1"/>
  <c r="G1342" i="32"/>
  <c r="G1341" i="32"/>
  <c r="G1340" i="32"/>
  <c r="G1320" i="32"/>
  <c r="G1319" i="32"/>
  <c r="G1318" i="32"/>
  <c r="G1276" i="32"/>
  <c r="G1275" i="32"/>
  <c r="G1274" i="32"/>
  <c r="G1266" i="32"/>
  <c r="G1265" i="32"/>
  <c r="G1264" i="32"/>
  <c r="H1267" i="32" s="1"/>
  <c r="G1256" i="32"/>
  <c r="G1255" i="32"/>
  <c r="G1254" i="32"/>
  <c r="H1257" i="32" s="1"/>
  <c r="G663" i="32"/>
  <c r="G661" i="32"/>
  <c r="G660" i="32"/>
  <c r="G659" i="32"/>
  <c r="G658" i="32"/>
  <c r="G650" i="32"/>
  <c r="G649" i="32"/>
  <c r="G648" i="32"/>
  <c r="G647" i="32"/>
  <c r="G639" i="32"/>
  <c r="G638" i="32"/>
  <c r="G637" i="32"/>
  <c r="G636" i="32"/>
  <c r="G635" i="32"/>
  <c r="G627" i="32"/>
  <c r="G626" i="32"/>
  <c r="G625" i="32"/>
  <c r="G624" i="32"/>
  <c r="G1198" i="32"/>
  <c r="G1197" i="32"/>
  <c r="G1196" i="32"/>
  <c r="G1195" i="32"/>
  <c r="G1187" i="32"/>
  <c r="G1185" i="32"/>
  <c r="G1184" i="32"/>
  <c r="G1175" i="32"/>
  <c r="G1174" i="32"/>
  <c r="G1173" i="32"/>
  <c r="G1164" i="32"/>
  <c r="G1163" i="32"/>
  <c r="G1162" i="32"/>
  <c r="G1161" i="32"/>
  <c r="G1160" i="32"/>
  <c r="G1151" i="32"/>
  <c r="G1150" i="32"/>
  <c r="G1149" i="32"/>
  <c r="G1148" i="32"/>
  <c r="G1140" i="32"/>
  <c r="G1139" i="32"/>
  <c r="H1141" i="32"/>
  <c r="G773" i="32"/>
  <c r="G771" i="32"/>
  <c r="G770" i="32"/>
  <c r="G769" i="32"/>
  <c r="G768" i="32"/>
  <c r="G760" i="32"/>
  <c r="H761" i="32" s="1"/>
  <c r="G752" i="32"/>
  <c r="G751" i="32"/>
  <c r="G750" i="32"/>
  <c r="G749" i="32"/>
  <c r="G748" i="32"/>
  <c r="G740" i="32"/>
  <c r="G739" i="32"/>
  <c r="G738" i="32"/>
  <c r="G737" i="32"/>
  <c r="G615" i="32"/>
  <c r="G614" i="32"/>
  <c r="G613" i="32"/>
  <c r="H616" i="32" s="1"/>
  <c r="G569" i="32"/>
  <c r="G568" i="32"/>
  <c r="G567" i="32"/>
  <c r="G566" i="32"/>
  <c r="G525" i="32"/>
  <c r="G524" i="32"/>
  <c r="G523" i="32"/>
  <c r="G522" i="32"/>
  <c r="G503" i="32"/>
  <c r="G502" i="32"/>
  <c r="G501" i="32"/>
  <c r="G500" i="32"/>
  <c r="G492" i="32"/>
  <c r="G491" i="32"/>
  <c r="G490" i="32"/>
  <c r="G489" i="32"/>
  <c r="G488" i="32"/>
  <c r="G487" i="32"/>
  <c r="G486" i="32"/>
  <c r="G485" i="32"/>
  <c r="G477" i="32"/>
  <c r="H479" i="32" s="1"/>
  <c r="G476" i="32"/>
  <c r="H478" i="32" s="1"/>
  <c r="G468" i="32"/>
  <c r="H470" i="32" s="1"/>
  <c r="G459" i="32"/>
  <c r="G458" i="32"/>
  <c r="G457" i="32"/>
  <c r="H460" i="32" s="1"/>
  <c r="G449" i="32"/>
  <c r="G448" i="32"/>
  <c r="G447" i="32"/>
  <c r="G446" i="32"/>
  <c r="G445" i="32"/>
  <c r="G444" i="32"/>
  <c r="G393" i="32"/>
  <c r="G392" i="32"/>
  <c r="G391" i="32"/>
  <c r="G390" i="32"/>
  <c r="G382" i="32"/>
  <c r="G381" i="32"/>
  <c r="G380" i="32"/>
  <c r="G379" i="32"/>
  <c r="H359" i="32"/>
  <c r="H358" i="32"/>
  <c r="G124" i="32"/>
  <c r="H126" i="32" s="1"/>
  <c r="G121" i="32"/>
  <c r="G120" i="32"/>
  <c r="G119" i="32"/>
  <c r="G118" i="32"/>
  <c r="G117" i="32"/>
  <c r="G116" i="32"/>
  <c r="G108" i="32"/>
  <c r="G107" i="32"/>
  <c r="G106" i="32"/>
  <c r="G105" i="32"/>
  <c r="G104" i="32"/>
  <c r="G103" i="32"/>
  <c r="G102" i="32"/>
  <c r="G101" i="32"/>
  <c r="G100" i="32"/>
  <c r="G99" i="32"/>
  <c r="G98" i="32"/>
  <c r="G97" i="32"/>
  <c r="G96" i="32"/>
  <c r="G95" i="32"/>
  <c r="G87" i="32"/>
  <c r="G86" i="32"/>
  <c r="G85" i="32"/>
  <c r="G84" i="32"/>
  <c r="G76" i="32"/>
  <c r="G75" i="32"/>
  <c r="G74" i="32"/>
  <c r="G73" i="32"/>
  <c r="G72" i="32"/>
  <c r="G71" i="32"/>
  <c r="G70" i="32"/>
  <c r="G69" i="32"/>
  <c r="G68" i="32"/>
  <c r="G67" i="32"/>
  <c r="G66" i="32"/>
  <c r="G65" i="32"/>
  <c r="G64" i="32"/>
  <c r="G63" i="32"/>
  <c r="G62" i="32"/>
  <c r="G61" i="32"/>
  <c r="G60" i="32"/>
  <c r="G59" i="32"/>
  <c r="G58" i="32"/>
  <c r="G57" i="32"/>
  <c r="G56" i="32"/>
  <c r="G55" i="32"/>
  <c r="G54" i="32"/>
  <c r="G52" i="32"/>
  <c r="G51" i="32"/>
  <c r="G50" i="32"/>
  <c r="G49" i="32"/>
  <c r="G48" i="32"/>
  <c r="G47" i="32"/>
  <c r="G46" i="32"/>
  <c r="G45" i="32"/>
  <c r="G44" i="32"/>
  <c r="G43" i="32"/>
  <c r="G42" i="32"/>
  <c r="G41" i="32"/>
  <c r="G33" i="32"/>
  <c r="G32" i="32"/>
  <c r="G31" i="32"/>
  <c r="G30" i="32"/>
  <c r="G29" i="32"/>
  <c r="G28" i="32"/>
  <c r="G27" i="32"/>
  <c r="F19" i="35"/>
  <c r="E19" i="35"/>
  <c r="F18" i="35"/>
  <c r="E18" i="35"/>
  <c r="F17" i="35"/>
  <c r="E17" i="35"/>
  <c r="F13" i="35"/>
  <c r="E13" i="35"/>
  <c r="F12" i="35"/>
  <c r="E12" i="35"/>
  <c r="F7" i="35"/>
  <c r="E7" i="35"/>
  <c r="F6" i="35"/>
  <c r="E6" i="35"/>
  <c r="G90" i="22" l="1"/>
  <c r="D109" i="17" s="1"/>
  <c r="D106" i="39" s="1"/>
  <c r="H461" i="32"/>
  <c r="H383" i="32"/>
  <c r="H384" i="32"/>
  <c r="H628" i="32"/>
  <c r="H3201" i="32"/>
  <c r="H3203" i="32" s="1"/>
  <c r="H3631" i="32"/>
  <c r="G772" i="32"/>
  <c r="H775" i="32" s="1"/>
  <c r="H125" i="32"/>
  <c r="H127" i="32" s="1"/>
  <c r="H128" i="32" s="1"/>
  <c r="H129" i="32" s="1"/>
  <c r="E21" i="39" s="1"/>
  <c r="F21" i="39" s="1"/>
  <c r="H471" i="32"/>
  <c r="H856" i="32"/>
  <c r="H857" i="32" s="1"/>
  <c r="E107" i="39" s="1"/>
  <c r="F107" i="39" s="1"/>
  <c r="E2169" i="32"/>
  <c r="G2169" i="32" s="1"/>
  <c r="H2171" i="32" s="1"/>
  <c r="E2648" i="32"/>
  <c r="G2648" i="32" s="1"/>
  <c r="E2623" i="32"/>
  <c r="G2623" i="32" s="1"/>
  <c r="E1578" i="32"/>
  <c r="G1578" i="32" s="1"/>
  <c r="H1581" i="32" s="1"/>
  <c r="E1677" i="32"/>
  <c r="G1677" i="32" s="1"/>
  <c r="E1667" i="32"/>
  <c r="G1667" i="32" s="1"/>
  <c r="E2359" i="32"/>
  <c r="G2359" i="32" s="1"/>
  <c r="H2363" i="32" s="1"/>
  <c r="E2278" i="32"/>
  <c r="G2278" i="32" s="1"/>
  <c r="E2266" i="32"/>
  <c r="G2266" i="32" s="1"/>
  <c r="E2382" i="32"/>
  <c r="G2382" i="32" s="1"/>
  <c r="E2394" i="32"/>
  <c r="G2394" i="32" s="1"/>
  <c r="H494" i="32"/>
  <c r="H505" i="32"/>
  <c r="H527" i="32"/>
  <c r="H571" i="32"/>
  <c r="H617" i="32"/>
  <c r="H763" i="32"/>
  <c r="H1142" i="32"/>
  <c r="H1469" i="32"/>
  <c r="H3212" i="32"/>
  <c r="H3223" i="32"/>
  <c r="H3234" i="32"/>
  <c r="H3245" i="32"/>
  <c r="H2207" i="32"/>
  <c r="H2255" i="32"/>
  <c r="H2303" i="32"/>
  <c r="H2351" i="32"/>
  <c r="H2720" i="32"/>
  <c r="H2731" i="32"/>
  <c r="H2748" i="32"/>
  <c r="H710" i="32"/>
  <c r="H720" i="32"/>
  <c r="H722" i="32" s="1"/>
  <c r="H723" i="32" s="1"/>
  <c r="H3524" i="32"/>
  <c r="H786" i="32"/>
  <c r="H799" i="32"/>
  <c r="H1232" i="32"/>
  <c r="H774" i="32"/>
  <c r="H3504" i="32"/>
  <c r="H3544" i="32"/>
  <c r="H3592" i="32"/>
  <c r="H3593" i="32" s="1"/>
  <c r="H3594" i="32" s="1"/>
  <c r="E378" i="39" s="1"/>
  <c r="F378" i="39" s="1"/>
  <c r="H830" i="32"/>
  <c r="H832" i="32" s="1"/>
  <c r="H607" i="32"/>
  <c r="H754" i="32"/>
  <c r="H1489" i="32"/>
  <c r="H1830" i="32"/>
  <c r="H1935" i="32"/>
  <c r="H3213" i="32"/>
  <c r="H3224" i="32"/>
  <c r="H3235" i="32"/>
  <c r="H2231" i="32"/>
  <c r="H2279" i="32"/>
  <c r="H2327" i="32"/>
  <c r="H2375" i="32"/>
  <c r="H2422" i="32"/>
  <c r="H2433" i="32"/>
  <c r="H3717" i="32"/>
  <c r="H3718" i="32" s="1"/>
  <c r="H3719" i="32" s="1"/>
  <c r="E391" i="39" s="1"/>
  <c r="F391" i="39" s="1"/>
  <c r="H938" i="32"/>
  <c r="H1213" i="32"/>
  <c r="H3087" i="32"/>
  <c r="H3778" i="32"/>
  <c r="H3792" i="32"/>
  <c r="H689" i="32"/>
  <c r="H3483" i="32"/>
  <c r="H3514" i="32"/>
  <c r="H3534" i="32"/>
  <c r="H1069" i="32"/>
  <c r="H888" i="32"/>
  <c r="H899" i="32"/>
  <c r="H972" i="32"/>
  <c r="H995" i="32"/>
  <c r="H3670" i="32"/>
  <c r="H821" i="32"/>
  <c r="H844" i="32"/>
  <c r="H912" i="32"/>
  <c r="H3678" i="32"/>
  <c r="H3806" i="32"/>
  <c r="H1245" i="32"/>
  <c r="H1246" i="32"/>
  <c r="H1082" i="32"/>
  <c r="H1093" i="32"/>
  <c r="H954" i="32"/>
  <c r="H35" i="32"/>
  <c r="H88" i="32"/>
  <c r="H89" i="32"/>
  <c r="H109" i="32"/>
  <c r="H110" i="32"/>
  <c r="H394" i="32"/>
  <c r="H395" i="32"/>
  <c r="H450" i="32"/>
  <c r="H451" i="32"/>
  <c r="H480" i="32"/>
  <c r="H1166" i="32"/>
  <c r="H1177" i="32"/>
  <c r="H629" i="32"/>
  <c r="H640" i="32"/>
  <c r="H641" i="32"/>
  <c r="H651" i="32"/>
  <c r="H652" i="32"/>
  <c r="H664" i="32"/>
  <c r="H1268" i="32"/>
  <c r="H1278" i="32"/>
  <c r="H1322" i="32"/>
  <c r="H1344" i="32"/>
  <c r="H1376" i="32"/>
  <c r="H1396" i="32"/>
  <c r="H1479" i="32"/>
  <c r="H1510" i="32"/>
  <c r="H1530" i="32"/>
  <c r="H1550" i="32"/>
  <c r="H1690" i="32"/>
  <c r="H1701" i="32"/>
  <c r="H1839" i="32"/>
  <c r="H1841" i="32" s="1"/>
  <c r="H1859" i="32"/>
  <c r="H1926" i="32"/>
  <c r="H3278" i="32"/>
  <c r="H3299" i="32"/>
  <c r="H3300" i="32"/>
  <c r="H3315" i="32"/>
  <c r="H3374" i="32"/>
  <c r="H3384" i="32"/>
  <c r="H3385" i="32"/>
  <c r="H3395" i="32"/>
  <c r="H3396" i="32"/>
  <c r="H3406" i="32"/>
  <c r="H3407" i="32"/>
  <c r="H3417" i="32"/>
  <c r="H3418" i="32"/>
  <c r="H2144" i="32"/>
  <c r="H2145" i="32"/>
  <c r="H2157" i="32"/>
  <c r="H2158" i="32"/>
  <c r="H2170" i="32"/>
  <c r="H2183" i="32"/>
  <c r="H2195" i="32"/>
  <c r="H2219" i="32"/>
  <c r="H2243" i="32"/>
  <c r="H2267" i="32"/>
  <c r="H2291" i="32"/>
  <c r="H2315" i="32"/>
  <c r="H2339" i="32"/>
  <c r="H3733" i="32"/>
  <c r="H699" i="32"/>
  <c r="H984" i="32"/>
  <c r="H925" i="32"/>
  <c r="H3574" i="32"/>
  <c r="H3575" i="32" s="1"/>
  <c r="H3583" i="32"/>
  <c r="H3584" i="32" s="1"/>
  <c r="H731" i="32"/>
  <c r="H732" i="32" s="1"/>
  <c r="H1153" i="32"/>
  <c r="H1188" i="32"/>
  <c r="H1200" i="32"/>
  <c r="H1258" i="32"/>
  <c r="H1366" i="32"/>
  <c r="H1367" i="32" s="1"/>
  <c r="H1386" i="32"/>
  <c r="H1499" i="32"/>
  <c r="H1500" i="32"/>
  <c r="H1520" i="32"/>
  <c r="H1540" i="32"/>
  <c r="H1570" i="32"/>
  <c r="H1571" i="32"/>
  <c r="H3246" i="32"/>
  <c r="H3267" i="32"/>
  <c r="H3268" i="32"/>
  <c r="H3350" i="32"/>
  <c r="H3351" i="32"/>
  <c r="H3361" i="32"/>
  <c r="H3362" i="32"/>
  <c r="H3373" i="32"/>
  <c r="H34" i="32"/>
  <c r="H78" i="32"/>
  <c r="H493" i="32"/>
  <c r="H504" i="32"/>
  <c r="H526" i="32"/>
  <c r="H570" i="32"/>
  <c r="H741" i="32"/>
  <c r="H742" i="32"/>
  <c r="H753" i="32"/>
  <c r="H3147" i="32"/>
  <c r="H3148" i="32"/>
  <c r="H3180" i="32"/>
  <c r="H3181" i="32"/>
  <c r="H360" i="32"/>
  <c r="H361" i="32" s="1"/>
  <c r="G6" i="35"/>
  <c r="G7" i="35"/>
  <c r="G12" i="35"/>
  <c r="G13" i="35"/>
  <c r="G17" i="35"/>
  <c r="G18" i="35"/>
  <c r="G19" i="35"/>
  <c r="H1582" i="32" l="1"/>
  <c r="H1583" i="32" s="1"/>
  <c r="H3525" i="32"/>
  <c r="H3526" i="32" s="1"/>
  <c r="H472" i="32"/>
  <c r="H473" i="32" s="1"/>
  <c r="E65" i="39" s="1"/>
  <c r="H724" i="32"/>
  <c r="E91" i="39" s="1"/>
  <c r="F91" i="39" s="1"/>
  <c r="H3279" i="32"/>
  <c r="H3280" i="32" s="1"/>
  <c r="H3281" i="32" s="1"/>
  <c r="E347" i="39" s="1"/>
  <c r="F347" i="39" s="1"/>
  <c r="H3671" i="32"/>
  <c r="H3672" i="32" s="1"/>
  <c r="E387" i="39" s="1"/>
  <c r="F387" i="39" s="1"/>
  <c r="H3679" i="32"/>
  <c r="H3680" i="32" s="1"/>
  <c r="E388" i="39" s="1"/>
  <c r="F388" i="39" s="1"/>
  <c r="H833" i="32"/>
  <c r="H834" i="32" s="1"/>
  <c r="E105" i="39" s="1"/>
  <c r="F105" i="39" s="1"/>
  <c r="H3204" i="32"/>
  <c r="H3205" i="32" s="1"/>
  <c r="E340" i="39" s="1"/>
  <c r="F340" i="39" s="1"/>
  <c r="H1927" i="32"/>
  <c r="H1928" i="32" s="1"/>
  <c r="E221" i="39" s="1"/>
  <c r="F221" i="39" s="1"/>
  <c r="H1860" i="32"/>
  <c r="H1861" i="32" s="1"/>
  <c r="E214" i="39" s="1"/>
  <c r="F214" i="39" s="1"/>
  <c r="H1842" i="32"/>
  <c r="H1843" i="32" s="1"/>
  <c r="E212" i="39" s="1"/>
  <c r="F212" i="39" s="1"/>
  <c r="H1368" i="32"/>
  <c r="H1369" i="32" s="1"/>
  <c r="E163" i="39" s="1"/>
  <c r="F163" i="39" s="1"/>
  <c r="H481" i="32"/>
  <c r="H482" i="32" s="1"/>
  <c r="E66" i="39" s="1"/>
  <c r="F66" i="39" s="1"/>
  <c r="H764" i="32"/>
  <c r="H765" i="32" s="1"/>
  <c r="E97" i="39" s="1"/>
  <c r="H1387" i="32"/>
  <c r="H1259" i="32"/>
  <c r="E2431" i="32"/>
  <c r="G2431" i="32" s="1"/>
  <c r="E2420" i="32"/>
  <c r="G2420" i="32" s="1"/>
  <c r="E2383" i="32"/>
  <c r="G2383" i="32" s="1"/>
  <c r="H2387" i="32" s="1"/>
  <c r="E2205" i="32"/>
  <c r="G2205" i="32" s="1"/>
  <c r="H2208" i="32" s="1"/>
  <c r="E2182" i="32"/>
  <c r="G2182" i="32" s="1"/>
  <c r="H2184" i="32" s="1"/>
  <c r="E2406" i="32"/>
  <c r="G2406" i="32" s="1"/>
  <c r="E2302" i="32"/>
  <c r="G2302" i="32" s="1"/>
  <c r="E2290" i="32"/>
  <c r="G2290" i="32" s="1"/>
  <c r="E1688" i="32"/>
  <c r="G1688" i="32" s="1"/>
  <c r="E1588" i="32"/>
  <c r="G1588" i="32" s="1"/>
  <c r="H1591" i="32" s="1"/>
  <c r="H1592" i="32" s="1"/>
  <c r="H1593" i="32" s="1"/>
  <c r="E2636" i="32"/>
  <c r="G2636" i="32" s="1"/>
  <c r="E2193" i="32"/>
  <c r="G2193" i="32" s="1"/>
  <c r="H2196" i="32" s="1"/>
  <c r="H1480" i="32"/>
  <c r="H572" i="32"/>
  <c r="H506" i="32"/>
  <c r="E1152" i="32"/>
  <c r="G1152" i="32" s="1"/>
  <c r="H1154" i="32" s="1"/>
  <c r="H755" i="32"/>
  <c r="H756" i="32" s="1"/>
  <c r="H757" i="32" s="1"/>
  <c r="E96" i="39" s="1"/>
  <c r="H528" i="32"/>
  <c r="H495" i="32"/>
  <c r="H462" i="32"/>
  <c r="H1143" i="32"/>
  <c r="H36" i="32"/>
  <c r="H3545" i="32"/>
  <c r="H3546" i="32" s="1"/>
  <c r="H3547" i="32" s="1"/>
  <c r="E373" i="39" s="1"/>
  <c r="F373" i="39" s="1"/>
  <c r="H1936" i="32"/>
  <c r="H618" i="32"/>
  <c r="H630" i="32"/>
  <c r="H1511" i="32"/>
  <c r="H1512" i="32" s="1"/>
  <c r="H1513" i="32" s="1"/>
  <c r="E178" i="39" s="1"/>
  <c r="F178" i="39" s="1"/>
  <c r="H1521" i="32"/>
  <c r="H3505" i="32"/>
  <c r="H1470" i="32"/>
  <c r="H3214" i="32"/>
  <c r="H1551" i="32"/>
  <c r="H1552" i="32" s="1"/>
  <c r="H1553" i="32" s="1"/>
  <c r="E182" i="39" s="1"/>
  <c r="F182" i="39" s="1"/>
  <c r="H1377" i="32"/>
  <c r="H608" i="32"/>
  <c r="H776" i="32"/>
  <c r="H3225" i="32"/>
  <c r="H1531" i="32"/>
  <c r="H1490" i="32"/>
  <c r="H3236" i="32"/>
  <c r="H3515" i="32"/>
  <c r="H3516" i="32" s="1"/>
  <c r="H1397" i="32"/>
  <c r="H1269" i="32"/>
  <c r="H1270" i="32" s="1"/>
  <c r="H3375" i="32"/>
  <c r="H3535" i="32"/>
  <c r="H3536" i="32" s="1"/>
  <c r="G14" i="35"/>
  <c r="G8" i="35"/>
  <c r="H2172" i="32"/>
  <c r="H2159" i="32"/>
  <c r="H2146" i="32"/>
  <c r="H3419" i="32"/>
  <c r="H3420" i="32" s="1"/>
  <c r="H452" i="32"/>
  <c r="H453" i="32" s="1"/>
  <c r="H396" i="32"/>
  <c r="H385" i="32"/>
  <c r="H145" i="32"/>
  <c r="H111" i="32"/>
  <c r="H1247" i="32"/>
  <c r="H1248" i="32" s="1"/>
  <c r="H3408" i="32"/>
  <c r="H3409" i="32" s="1"/>
  <c r="H3397" i="32"/>
  <c r="H3398" i="32" s="1"/>
  <c r="H3386" i="32"/>
  <c r="H3387" i="32" s="1"/>
  <c r="H90" i="32"/>
  <c r="H1572" i="32"/>
  <c r="H1573" i="32" s="1"/>
  <c r="H3301" i="32"/>
  <c r="H653" i="32"/>
  <c r="H654" i="32" s="1"/>
  <c r="H642" i="32"/>
  <c r="H3585" i="32"/>
  <c r="E377" i="39" s="1"/>
  <c r="F377" i="39" s="1"/>
  <c r="H3576" i="32"/>
  <c r="E376" i="39" s="1"/>
  <c r="F376" i="39" s="1"/>
  <c r="H733" i="32"/>
  <c r="E92" i="39" s="1"/>
  <c r="H3182" i="32"/>
  <c r="H3183" i="32" s="1"/>
  <c r="H3149" i="32"/>
  <c r="H3150" i="32" s="1"/>
  <c r="H1541" i="32"/>
  <c r="H1542" i="32" s="1"/>
  <c r="H743" i="32"/>
  <c r="H3363" i="32"/>
  <c r="H3364" i="32" s="1"/>
  <c r="H3352" i="32"/>
  <c r="H3353" i="32" s="1"/>
  <c r="H3269" i="32"/>
  <c r="H3270" i="32" s="1"/>
  <c r="H3247" i="32"/>
  <c r="H3248" i="32" s="1"/>
  <c r="H1501" i="32"/>
  <c r="H1502" i="32" s="1"/>
  <c r="H362" i="32"/>
  <c r="E54" i="39" s="1"/>
  <c r="G20" i="35"/>
  <c r="H37" i="32" l="1"/>
  <c r="H38" i="32" s="1"/>
  <c r="E17" i="39" s="1"/>
  <c r="F17" i="39" s="1"/>
  <c r="H3527" i="32"/>
  <c r="E371" i="39" s="1"/>
  <c r="F371" i="39" s="1"/>
  <c r="H2209" i="32"/>
  <c r="H2210" i="32" s="1"/>
  <c r="H1584" i="32"/>
  <c r="E185" i="39" s="1"/>
  <c r="F185" i="39" s="1"/>
  <c r="H1271" i="32"/>
  <c r="E154" i="39" s="1"/>
  <c r="F154" i="39" s="1"/>
  <c r="H2185" i="32"/>
  <c r="H2186" i="32" s="1"/>
  <c r="H2187" i="32" s="1"/>
  <c r="E250" i="39" s="1"/>
  <c r="F250" i="39" s="1"/>
  <c r="H1155" i="32"/>
  <c r="H1156" i="32" s="1"/>
  <c r="H1157" i="32" s="1"/>
  <c r="E139" i="39" s="1"/>
  <c r="F139" i="39" s="1"/>
  <c r="H3506" i="32"/>
  <c r="H3507" i="32" s="1"/>
  <c r="E369" i="39" s="1"/>
  <c r="F369" i="39" s="1"/>
  <c r="H2147" i="32"/>
  <c r="H2148" i="32" s="1"/>
  <c r="E247" i="39" s="1"/>
  <c r="F247" i="39" s="1"/>
  <c r="H2173" i="32"/>
  <c r="H2174" i="32" s="1"/>
  <c r="E249" i="39" s="1"/>
  <c r="F249" i="39" s="1"/>
  <c r="H3376" i="32"/>
  <c r="H3377" i="32" s="1"/>
  <c r="E355" i="39" s="1"/>
  <c r="F355" i="39" s="1"/>
  <c r="H2160" i="32"/>
  <c r="H2161" i="32" s="1"/>
  <c r="E248" i="39" s="1"/>
  <c r="F248" i="39" s="1"/>
  <c r="H3302" i="32"/>
  <c r="H3303" i="32" s="1"/>
  <c r="E349" i="39" s="1"/>
  <c r="F349" i="39" s="1"/>
  <c r="H3249" i="32"/>
  <c r="E344" i="39" s="1"/>
  <c r="F344" i="39" s="1"/>
  <c r="H3237" i="32"/>
  <c r="H3238" i="32" s="1"/>
  <c r="E343" i="39" s="1"/>
  <c r="F343" i="39" s="1"/>
  <c r="H3271" i="32"/>
  <c r="E346" i="39" s="1"/>
  <c r="F346" i="39" s="1"/>
  <c r="H3226" i="32"/>
  <c r="H3227" i="32" s="1"/>
  <c r="E342" i="39" s="1"/>
  <c r="F342" i="39" s="1"/>
  <c r="H3215" i="32"/>
  <c r="H3216" i="32" s="1"/>
  <c r="E341" i="39" s="1"/>
  <c r="F341" i="39" s="1"/>
  <c r="H1937" i="32"/>
  <c r="H1938" i="32" s="1"/>
  <c r="E222" i="39" s="1"/>
  <c r="F222" i="39" s="1"/>
  <c r="H643" i="32"/>
  <c r="H644" i="32" s="1"/>
  <c r="E82" i="39" s="1"/>
  <c r="F82" i="39" s="1"/>
  <c r="H91" i="32"/>
  <c r="H92" i="32" s="1"/>
  <c r="E19" i="39" s="1"/>
  <c r="F19" i="39" s="1"/>
  <c r="H112" i="32"/>
  <c r="H113" i="32" s="1"/>
  <c r="E20" i="39" s="1"/>
  <c r="F20" i="39" s="1"/>
  <c r="H146" i="32"/>
  <c r="H147" i="32" s="1"/>
  <c r="E22" i="39" s="1"/>
  <c r="F22" i="39" s="1"/>
  <c r="H397" i="32"/>
  <c r="H398" i="32" s="1"/>
  <c r="H1491" i="32"/>
  <c r="H1492" i="32" s="1"/>
  <c r="E176" i="39" s="1"/>
  <c r="F176" i="39" s="1"/>
  <c r="H1471" i="32"/>
  <c r="H1472" i="32" s="1"/>
  <c r="E174" i="39" s="1"/>
  <c r="F174" i="39" s="1"/>
  <c r="H1522" i="32"/>
  <c r="H1523" i="32" s="1"/>
  <c r="E179" i="39" s="1"/>
  <c r="F179" i="39" s="1"/>
  <c r="H631" i="32"/>
  <c r="H632" i="32" s="1"/>
  <c r="E81" i="39" s="1"/>
  <c r="F81" i="39" s="1"/>
  <c r="H619" i="32"/>
  <c r="H620" i="32" s="1"/>
  <c r="E78" i="39" s="1"/>
  <c r="H1144" i="32"/>
  <c r="H1145" i="32" s="1"/>
  <c r="E138" i="39" s="1"/>
  <c r="F138" i="39" s="1"/>
  <c r="H496" i="32"/>
  <c r="H497" i="32" s="1"/>
  <c r="E67" i="39" s="1"/>
  <c r="F67" i="39" s="1"/>
  <c r="H573" i="32"/>
  <c r="H574" i="32" s="1"/>
  <c r="H1260" i="32"/>
  <c r="H1261" i="32" s="1"/>
  <c r="E153" i="39" s="1"/>
  <c r="F153" i="39" s="1"/>
  <c r="H744" i="32"/>
  <c r="H745" i="32" s="1"/>
  <c r="E95" i="39" s="1"/>
  <c r="H386" i="32"/>
  <c r="H387" i="32" s="1"/>
  <c r="E56" i="39" s="1"/>
  <c r="H1398" i="32"/>
  <c r="H1399" i="32" s="1"/>
  <c r="E166" i="39" s="1"/>
  <c r="F166" i="39" s="1"/>
  <c r="H1532" i="32"/>
  <c r="H1533" i="32" s="1"/>
  <c r="E180" i="39" s="1"/>
  <c r="F180" i="39" s="1"/>
  <c r="H777" i="32"/>
  <c r="H778" i="32" s="1"/>
  <c r="E98" i="39" s="1"/>
  <c r="H609" i="32"/>
  <c r="H610" i="32" s="1"/>
  <c r="E77" i="39" s="1"/>
  <c r="F77" i="39" s="1"/>
  <c r="H1378" i="32"/>
  <c r="H1379" i="32" s="1"/>
  <c r="E164" i="39" s="1"/>
  <c r="F164" i="39" s="1"/>
  <c r="E55" i="39"/>
  <c r="H463" i="32"/>
  <c r="H464" i="32" s="1"/>
  <c r="E62" i="39" s="1"/>
  <c r="H529" i="32"/>
  <c r="H530" i="32" s="1"/>
  <c r="H507" i="32"/>
  <c r="H508" i="32" s="1"/>
  <c r="H1481" i="32"/>
  <c r="H1482" i="32" s="1"/>
  <c r="E175" i="39" s="1"/>
  <c r="F175" i="39" s="1"/>
  <c r="H1388" i="32"/>
  <c r="H1389" i="32" s="1"/>
  <c r="E165" i="39" s="1"/>
  <c r="F165" i="39" s="1"/>
  <c r="E1608" i="32"/>
  <c r="G1608" i="32" s="1"/>
  <c r="E1598" i="32"/>
  <c r="G1598" i="32" s="1"/>
  <c r="H1601" i="32" s="1"/>
  <c r="E1699" i="32"/>
  <c r="G1699" i="32" s="1"/>
  <c r="E2396" i="32"/>
  <c r="G2396" i="32" s="1"/>
  <c r="H2399" i="32" s="1"/>
  <c r="E2217" i="32"/>
  <c r="G2217" i="32" s="1"/>
  <c r="H2220" i="32" s="1"/>
  <c r="E2660" i="32"/>
  <c r="G2660" i="32" s="1"/>
  <c r="E1618" i="32"/>
  <c r="G1618" i="32" s="1"/>
  <c r="H1621" i="32" s="1"/>
  <c r="E2453" i="32"/>
  <c r="G2453" i="32" s="1"/>
  <c r="E2442" i="32"/>
  <c r="G2442" i="32" s="1"/>
  <c r="H2197" i="32"/>
  <c r="E2443" i="32"/>
  <c r="G2443" i="32" s="1"/>
  <c r="E1186" i="32"/>
  <c r="G1186" i="32" s="1"/>
  <c r="H1189" i="32" s="1"/>
  <c r="E1165" i="32"/>
  <c r="G1165" i="32" s="1"/>
  <c r="H1167" i="32" s="1"/>
  <c r="H454" i="32"/>
  <c r="H3517" i="32"/>
  <c r="E370" i="39" s="1"/>
  <c r="F370" i="39" s="1"/>
  <c r="H3537" i="32"/>
  <c r="E372" i="39" s="1"/>
  <c r="F372" i="39" s="1"/>
  <c r="G24" i="35"/>
  <c r="G25" i="35" s="1"/>
  <c r="H1249" i="32"/>
  <c r="E149" i="39" s="1"/>
  <c r="F149" i="39" s="1"/>
  <c r="H3421" i="32"/>
  <c r="E359" i="39" s="1"/>
  <c r="F359" i="39" s="1"/>
  <c r="H3365" i="32"/>
  <c r="E354" i="39" s="1"/>
  <c r="F354" i="39" s="1"/>
  <c r="H655" i="32"/>
  <c r="E83" i="39" s="1"/>
  <c r="F83" i="39" s="1"/>
  <c r="H3388" i="32"/>
  <c r="E356" i="39" s="1"/>
  <c r="F356" i="39" s="1"/>
  <c r="H3410" i="32"/>
  <c r="E358" i="39" s="1"/>
  <c r="F358" i="39" s="1"/>
  <c r="H3354" i="32"/>
  <c r="E353" i="39" s="1"/>
  <c r="F353" i="39" s="1"/>
  <c r="H1574" i="32"/>
  <c r="E184" i="39" s="1"/>
  <c r="F184" i="39" s="1"/>
  <c r="H3399" i="32"/>
  <c r="E357" i="39" s="1"/>
  <c r="F357" i="39" s="1"/>
  <c r="H1503" i="32"/>
  <c r="E177" i="39" s="1"/>
  <c r="F177" i="39" s="1"/>
  <c r="H1594" i="32"/>
  <c r="E186" i="39" s="1"/>
  <c r="F186" i="39" s="1"/>
  <c r="H3184" i="32"/>
  <c r="E338" i="39" s="1"/>
  <c r="F338" i="39" s="1"/>
  <c r="H1543" i="32"/>
  <c r="E181" i="39" s="1"/>
  <c r="F181" i="39" s="1"/>
  <c r="H3152" i="32"/>
  <c r="E335" i="39" s="1"/>
  <c r="F335" i="39" s="1"/>
  <c r="E70" i="22"/>
  <c r="D67" i="22"/>
  <c r="J67" i="22" s="1"/>
  <c r="D66" i="22"/>
  <c r="J66" i="22" s="1"/>
  <c r="D65" i="22"/>
  <c r="J65" i="22" s="1"/>
  <c r="D64" i="22"/>
  <c r="J64" i="22" s="1"/>
  <c r="D63" i="22"/>
  <c r="J63" i="22" s="1"/>
  <c r="D62" i="22"/>
  <c r="J62" i="22" s="1"/>
  <c r="D61" i="22"/>
  <c r="J61" i="22" s="1"/>
  <c r="D60" i="22"/>
  <c r="J60" i="22" s="1"/>
  <c r="D59" i="22"/>
  <c r="J59" i="22" s="1"/>
  <c r="D58" i="22"/>
  <c r="J58" i="22" s="1"/>
  <c r="D57" i="22"/>
  <c r="J57" i="22" s="1"/>
  <c r="D56" i="22"/>
  <c r="J56" i="22" s="1"/>
  <c r="D55" i="22"/>
  <c r="J55" i="22" s="1"/>
  <c r="D50" i="22"/>
  <c r="J50" i="22" s="1"/>
  <c r="D49" i="22"/>
  <c r="J49" i="22" s="1"/>
  <c r="D48" i="22"/>
  <c r="J48" i="22" s="1"/>
  <c r="D47" i="22"/>
  <c r="J47" i="22" s="1"/>
  <c r="D46" i="22"/>
  <c r="J46" i="22" s="1"/>
  <c r="D45" i="22"/>
  <c r="J45" i="22" s="1"/>
  <c r="D44" i="22"/>
  <c r="J44" i="22" s="1"/>
  <c r="D43" i="22"/>
  <c r="J43" i="22" s="1"/>
  <c r="D42" i="22"/>
  <c r="J42" i="22" s="1"/>
  <c r="D41" i="22"/>
  <c r="J41" i="22" s="1"/>
  <c r="D40" i="22"/>
  <c r="J40" i="22" s="1"/>
  <c r="Q39" i="22"/>
  <c r="D39" i="22"/>
  <c r="J39" i="22" s="1"/>
  <c r="Q38" i="22"/>
  <c r="D38" i="22"/>
  <c r="J38" i="22" s="1"/>
  <c r="Q37" i="22"/>
  <c r="D37" i="22"/>
  <c r="J37" i="22" s="1"/>
  <c r="Q36" i="22"/>
  <c r="D36" i="22"/>
  <c r="J36" i="22" s="1"/>
  <c r="Q35" i="22"/>
  <c r="D35" i="22"/>
  <c r="J35" i="22" s="1"/>
  <c r="Q34" i="22"/>
  <c r="D34" i="22"/>
  <c r="J34" i="22" s="1"/>
  <c r="D33" i="22"/>
  <c r="J33" i="22" s="1"/>
  <c r="D32" i="22"/>
  <c r="J32" i="22" s="1"/>
  <c r="D31" i="22"/>
  <c r="J31" i="22" s="1"/>
  <c r="D30" i="22"/>
  <c r="J30" i="22" s="1"/>
  <c r="Q29" i="22"/>
  <c r="D29" i="22"/>
  <c r="J29" i="22" s="1"/>
  <c r="Q28" i="22"/>
  <c r="D28" i="22"/>
  <c r="J28" i="22" s="1"/>
  <c r="Q27" i="22"/>
  <c r="D27" i="22"/>
  <c r="J27" i="22" s="1"/>
  <c r="Q26" i="22"/>
  <c r="D26" i="22"/>
  <c r="J26" i="22" s="1"/>
  <c r="Q25" i="22"/>
  <c r="D25" i="22"/>
  <c r="J25" i="22" s="1"/>
  <c r="Q24" i="22"/>
  <c r="D24" i="22"/>
  <c r="J24" i="22" s="1"/>
  <c r="Q23" i="22"/>
  <c r="D23" i="22"/>
  <c r="J23" i="22" s="1"/>
  <c r="Q22" i="22"/>
  <c r="D22" i="22"/>
  <c r="J22" i="22" s="1"/>
  <c r="Q21" i="22"/>
  <c r="D21" i="22"/>
  <c r="J21" i="22" s="1"/>
  <c r="Q20" i="22"/>
  <c r="D20" i="22"/>
  <c r="J20" i="22" s="1"/>
  <c r="Q19" i="22"/>
  <c r="D19" i="22"/>
  <c r="J19" i="22" s="1"/>
  <c r="Q18" i="22"/>
  <c r="D18" i="22"/>
  <c r="J18" i="22" s="1"/>
  <c r="Q17" i="22"/>
  <c r="D17" i="22"/>
  <c r="J17" i="22" s="1"/>
  <c r="Q16" i="22"/>
  <c r="D16" i="22"/>
  <c r="J16" i="22" s="1"/>
  <c r="Q15" i="22"/>
  <c r="D15" i="22"/>
  <c r="J15" i="22" s="1"/>
  <c r="Q14" i="22"/>
  <c r="D14" i="22"/>
  <c r="J14" i="22" s="1"/>
  <c r="Q13" i="22"/>
  <c r="D13" i="22"/>
  <c r="J13" i="22" s="1"/>
  <c r="Q12" i="22"/>
  <c r="D12" i="22"/>
  <c r="J12" i="22" s="1"/>
  <c r="Q11" i="22"/>
  <c r="Q30" i="22" s="1"/>
  <c r="D100" i="17" s="1"/>
  <c r="D98" i="39" s="1"/>
  <c r="D11" i="22"/>
  <c r="J11" i="22" s="1"/>
  <c r="D10" i="22"/>
  <c r="J10" i="22" s="1"/>
  <c r="D9" i="22"/>
  <c r="J9" i="22" s="1"/>
  <c r="D8" i="22"/>
  <c r="J8" i="22" s="1"/>
  <c r="D7" i="22"/>
  <c r="J7" i="22" s="1"/>
  <c r="D6" i="22"/>
  <c r="J6" i="22" s="1"/>
  <c r="Q5" i="22"/>
  <c r="P5" i="22"/>
  <c r="D5" i="22"/>
  <c r="J5" i="22" s="1"/>
  <c r="P4" i="22"/>
  <c r="R4" i="22" s="1"/>
  <c r="D4" i="22"/>
  <c r="J4" i="22" s="1"/>
  <c r="P3" i="22"/>
  <c r="D3" i="22"/>
  <c r="J3" i="22" s="1"/>
  <c r="R3" i="22" l="1"/>
  <c r="P6" i="22"/>
  <c r="D152" i="17" s="1"/>
  <c r="D145" i="39" s="1"/>
  <c r="F145" i="39" s="1"/>
  <c r="Q44" i="22"/>
  <c r="D98" i="17" s="1"/>
  <c r="D96" i="39" s="1"/>
  <c r="F96" i="39" s="1"/>
  <c r="F98" i="39"/>
  <c r="E72" i="39"/>
  <c r="E70" i="39"/>
  <c r="E73" i="39"/>
  <c r="E71" i="39"/>
  <c r="E69" i="39"/>
  <c r="E68" i="39"/>
  <c r="E75" i="39"/>
  <c r="E76" i="39"/>
  <c r="E74" i="39"/>
  <c r="E57" i="39"/>
  <c r="E58" i="39"/>
  <c r="E59" i="39"/>
  <c r="E61" i="39"/>
  <c r="H2211" i="32"/>
  <c r="E252" i="39" s="1"/>
  <c r="F252" i="39" s="1"/>
  <c r="H2198" i="32"/>
  <c r="H2199" i="32" s="1"/>
  <c r="E251" i="39" s="1"/>
  <c r="F251" i="39" s="1"/>
  <c r="E2455" i="32"/>
  <c r="G2455" i="32" s="1"/>
  <c r="E2489" i="32"/>
  <c r="G2489" i="32" s="1"/>
  <c r="E2478" i="32"/>
  <c r="G2478" i="32" s="1"/>
  <c r="E2465" i="32"/>
  <c r="G2465" i="32" s="1"/>
  <c r="H1622" i="32"/>
  <c r="E2241" i="32"/>
  <c r="G2241" i="32" s="1"/>
  <c r="H2244" i="32" s="1"/>
  <c r="E2229" i="32"/>
  <c r="G2229" i="32" s="1"/>
  <c r="H2232" i="32" s="1"/>
  <c r="E2407" i="32"/>
  <c r="G2407" i="32" s="1"/>
  <c r="H2411" i="32" s="1"/>
  <c r="H1602" i="32"/>
  <c r="E2684" i="32"/>
  <c r="G2684" i="32" s="1"/>
  <c r="E1628" i="32"/>
  <c r="G1628" i="32" s="1"/>
  <c r="H1631" i="32" s="1"/>
  <c r="E2672" i="32"/>
  <c r="G2672" i="32" s="1"/>
  <c r="H2221" i="32"/>
  <c r="E1709" i="32"/>
  <c r="G1709" i="32" s="1"/>
  <c r="H1168" i="32"/>
  <c r="H1190" i="32"/>
  <c r="E1176" i="32"/>
  <c r="G1176" i="32" s="1"/>
  <c r="H1178" i="32" s="1"/>
  <c r="R5" i="22"/>
  <c r="R6" i="22" s="1"/>
  <c r="D99" i="17" s="1"/>
  <c r="D97" i="39" s="1"/>
  <c r="F97" i="39" s="1"/>
  <c r="G26" i="35"/>
  <c r="J51" i="22"/>
  <c r="J68" i="22"/>
  <c r="D97" i="17" l="1"/>
  <c r="D104" i="17" s="1"/>
  <c r="D101" i="39" s="1"/>
  <c r="H2222" i="32"/>
  <c r="H2223" i="32" s="1"/>
  <c r="E253" i="39" s="1"/>
  <c r="F253" i="39" s="1"/>
  <c r="H1191" i="32"/>
  <c r="H1192" i="32" s="1"/>
  <c r="E142" i="39" s="1"/>
  <c r="F142" i="39" s="1"/>
  <c r="H1169" i="32"/>
  <c r="H1170" i="32" s="1"/>
  <c r="E140" i="39" s="1"/>
  <c r="F140" i="39" s="1"/>
  <c r="H1603" i="32"/>
  <c r="H1604" i="32" s="1"/>
  <c r="E187" i="39" s="1"/>
  <c r="F187" i="39" s="1"/>
  <c r="H1623" i="32"/>
  <c r="H1624" i="32" s="1"/>
  <c r="E189" i="39" s="1"/>
  <c r="F189" i="39" s="1"/>
  <c r="E662" i="32"/>
  <c r="G662" i="32" s="1"/>
  <c r="H665" i="32" s="1"/>
  <c r="H666" i="32" s="1"/>
  <c r="E1729" i="32"/>
  <c r="G1729" i="32" s="1"/>
  <c r="E2838" i="32"/>
  <c r="G2838" i="32" s="1"/>
  <c r="H1632" i="32"/>
  <c r="E2696" i="32"/>
  <c r="G2696" i="32" s="1"/>
  <c r="H2245" i="32"/>
  <c r="E2768" i="32"/>
  <c r="G2768" i="32" s="1"/>
  <c r="E2777" i="32"/>
  <c r="G2777" i="32" s="1"/>
  <c r="E1637" i="32"/>
  <c r="G1637" i="32" s="1"/>
  <c r="E2452" i="32"/>
  <c r="G2452" i="32" s="1"/>
  <c r="H2457" i="32" s="1"/>
  <c r="E2441" i="32"/>
  <c r="G2441" i="32" s="1"/>
  <c r="H2445" i="32" s="1"/>
  <c r="H2233" i="32"/>
  <c r="E2253" i="32"/>
  <c r="G2253" i="32" s="1"/>
  <c r="H2256" i="32" s="1"/>
  <c r="E2501" i="32"/>
  <c r="G2501" i="32" s="1"/>
  <c r="E2467" i="32"/>
  <c r="G2467" i="32" s="1"/>
  <c r="H1179" i="32"/>
  <c r="E1199" i="32"/>
  <c r="G1199" i="32" s="1"/>
  <c r="H1201" i="32" s="1"/>
  <c r="E94" i="22"/>
  <c r="E95" i="22" s="1"/>
  <c r="E97" i="22" s="1"/>
  <c r="G183" i="32"/>
  <c r="H185" i="32" s="1"/>
  <c r="J19" i="26"/>
  <c r="I19" i="26"/>
  <c r="H19" i="26"/>
  <c r="G19" i="26"/>
  <c r="F19" i="26"/>
  <c r="E19" i="26"/>
  <c r="D19" i="26"/>
  <c r="C19" i="26"/>
  <c r="B19" i="26"/>
  <c r="D77" i="17"/>
  <c r="D95" i="39" l="1"/>
  <c r="F95" i="39" s="1"/>
  <c r="D107" i="17"/>
  <c r="D104" i="39" s="1"/>
  <c r="B29" i="42" s="1"/>
  <c r="D105" i="17"/>
  <c r="D102" i="39" s="1"/>
  <c r="D78" i="39"/>
  <c r="F78" i="39" s="1"/>
  <c r="H2234" i="32"/>
  <c r="H2235" i="32" s="1"/>
  <c r="E254" i="39" s="1"/>
  <c r="F254" i="39" s="1"/>
  <c r="H2246" i="32"/>
  <c r="H2247" i="32" s="1"/>
  <c r="E255" i="39" s="1"/>
  <c r="F255" i="39" s="1"/>
  <c r="H667" i="32"/>
  <c r="H668" i="32" s="1"/>
  <c r="E84" i="39" s="1"/>
  <c r="F84" i="39" s="1"/>
  <c r="H1180" i="32"/>
  <c r="H1181" i="32" s="1"/>
  <c r="E141" i="39" s="1"/>
  <c r="F141" i="39" s="1"/>
  <c r="H1633" i="32"/>
  <c r="H1634" i="32" s="1"/>
  <c r="E190" i="39" s="1"/>
  <c r="F190" i="39" s="1"/>
  <c r="H2257" i="32"/>
  <c r="E2464" i="32"/>
  <c r="G2464" i="32" s="1"/>
  <c r="H2469" i="32" s="1"/>
  <c r="E1668" i="32"/>
  <c r="G1668" i="32" s="1"/>
  <c r="H1670" i="32" s="1"/>
  <c r="E3732" i="32"/>
  <c r="G3732" i="32" s="1"/>
  <c r="H3734" i="32" s="1"/>
  <c r="E3766" i="32"/>
  <c r="G3766" i="32" s="1"/>
  <c r="E3132" i="32"/>
  <c r="G3132" i="32" s="1"/>
  <c r="E1558" i="32"/>
  <c r="G1558" i="32" s="1"/>
  <c r="H1560" i="32" s="1"/>
  <c r="E2479" i="32"/>
  <c r="G2479" i="32" s="1"/>
  <c r="E2513" i="32"/>
  <c r="G2513" i="32" s="1"/>
  <c r="E2277" i="32"/>
  <c r="G2277" i="32" s="1"/>
  <c r="H2280" i="32" s="1"/>
  <c r="E2265" i="32"/>
  <c r="G2265" i="32" s="1"/>
  <c r="H2268" i="32" s="1"/>
  <c r="E2708" i="32"/>
  <c r="G2708" i="32" s="1"/>
  <c r="E2862" i="32"/>
  <c r="G2862" i="32" s="1"/>
  <c r="E2850" i="32"/>
  <c r="G2850" i="32" s="1"/>
  <c r="E1741" i="32"/>
  <c r="G1741" i="32" s="1"/>
  <c r="H1202" i="32"/>
  <c r="H1203" i="32" s="1"/>
  <c r="E1321" i="32"/>
  <c r="G1321" i="32" s="1"/>
  <c r="H1323" i="32" s="1"/>
  <c r="E1343" i="32"/>
  <c r="G1343" i="32" s="1"/>
  <c r="H1345" i="32" s="1"/>
  <c r="E1277" i="32"/>
  <c r="G1277" i="32" s="1"/>
  <c r="H1279" i="32" s="1"/>
  <c r="H186" i="32"/>
  <c r="D75" i="17"/>
  <c r="G37" i="34"/>
  <c r="F37" i="34"/>
  <c r="G36" i="34"/>
  <c r="F36" i="34"/>
  <c r="G35" i="34"/>
  <c r="F35" i="34"/>
  <c r="F34" i="34"/>
  <c r="G33" i="34"/>
  <c r="F33" i="34"/>
  <c r="G32" i="34"/>
  <c r="F32" i="34"/>
  <c r="G31" i="34"/>
  <c r="F31" i="34"/>
  <c r="F94" i="39" l="1"/>
  <c r="F80" i="39"/>
  <c r="D76" i="39"/>
  <c r="F76" i="39" s="1"/>
  <c r="H187" i="32"/>
  <c r="H188" i="32" s="1"/>
  <c r="H2258" i="32"/>
  <c r="H2259" i="32" s="1"/>
  <c r="E256" i="39" s="1"/>
  <c r="F256" i="39" s="1"/>
  <c r="E1760" i="32"/>
  <c r="G1760" i="32" s="1"/>
  <c r="E2959" i="32"/>
  <c r="G2959" i="32" s="1"/>
  <c r="H2269" i="32"/>
  <c r="E2289" i="32"/>
  <c r="G2289" i="32" s="1"/>
  <c r="H2292" i="32" s="1"/>
  <c r="E2525" i="32"/>
  <c r="G2525" i="32" s="1"/>
  <c r="E2515" i="32"/>
  <c r="G2515" i="32" s="1"/>
  <c r="E2491" i="32"/>
  <c r="G2491" i="32" s="1"/>
  <c r="E1638" i="32"/>
  <c r="G1638" i="32" s="1"/>
  <c r="H1640" i="32" s="1"/>
  <c r="E1609" i="32"/>
  <c r="G1609" i="32" s="1"/>
  <c r="H1611" i="32" s="1"/>
  <c r="E3789" i="32"/>
  <c r="G3789" i="32" s="1"/>
  <c r="H3793" i="32" s="1"/>
  <c r="H3735" i="32"/>
  <c r="H1671" i="32"/>
  <c r="E1751" i="32"/>
  <c r="G1751" i="32" s="1"/>
  <c r="E2874" i="32"/>
  <c r="G2874" i="32" s="1"/>
  <c r="E2886" i="32"/>
  <c r="G2886" i="32" s="1"/>
  <c r="E2719" i="32"/>
  <c r="G2719" i="32" s="1"/>
  <c r="E2730" i="32"/>
  <c r="G2730" i="32" s="1"/>
  <c r="H2281" i="32"/>
  <c r="H1561" i="32"/>
  <c r="E1678" i="32"/>
  <c r="G1678" i="32" s="1"/>
  <c r="H1680" i="32" s="1"/>
  <c r="E2476" i="32"/>
  <c r="G2476" i="32" s="1"/>
  <c r="H2481" i="32" s="1"/>
  <c r="H1204" i="32"/>
  <c r="E143" i="39" s="1"/>
  <c r="F143" i="39" s="1"/>
  <c r="H1280" i="32"/>
  <c r="H1324" i="32"/>
  <c r="H1346" i="32"/>
  <c r="D37" i="40" l="1"/>
  <c r="R37" i="40" s="1"/>
  <c r="D43" i="40"/>
  <c r="E29" i="39"/>
  <c r="F29" i="39" s="1"/>
  <c r="H3736" i="32"/>
  <c r="H3737" i="32" s="1"/>
  <c r="E395" i="39" s="1"/>
  <c r="F395" i="39" s="1"/>
  <c r="H2282" i="32"/>
  <c r="H2283" i="32" s="1"/>
  <c r="E258" i="39" s="1"/>
  <c r="F258" i="39" s="1"/>
  <c r="H2270" i="32"/>
  <c r="H2271" i="32" s="1"/>
  <c r="E257" i="39" s="1"/>
  <c r="F257" i="39" s="1"/>
  <c r="H1325" i="32"/>
  <c r="H1326" i="32" s="1"/>
  <c r="H1562" i="32"/>
  <c r="H1563" i="32" s="1"/>
  <c r="E183" i="39" s="1"/>
  <c r="F183" i="39" s="1"/>
  <c r="H1672" i="32"/>
  <c r="H1673" i="32" s="1"/>
  <c r="E194" i="39" s="1"/>
  <c r="F194" i="39" s="1"/>
  <c r="H1347" i="32"/>
  <c r="H1348" i="32" s="1"/>
  <c r="H1281" i="32"/>
  <c r="H1282" i="32" s="1"/>
  <c r="E155" i="39" s="1"/>
  <c r="F155" i="39" s="1"/>
  <c r="E1689" i="32"/>
  <c r="G1689" i="32" s="1"/>
  <c r="H1691" i="32" s="1"/>
  <c r="E2897" i="32"/>
  <c r="G2897" i="32" s="1"/>
  <c r="E3804" i="32"/>
  <c r="G3804" i="32" s="1"/>
  <c r="H3807" i="32" s="1"/>
  <c r="H2293" i="32"/>
  <c r="E2488" i="32"/>
  <c r="G2488" i="32" s="1"/>
  <c r="H2493" i="32" s="1"/>
  <c r="H1681" i="32"/>
  <c r="H1682" i="32" s="1"/>
  <c r="E1876" i="32"/>
  <c r="G1876" i="32" s="1"/>
  <c r="H3794" i="32"/>
  <c r="H1612" i="32"/>
  <c r="H1641" i="32"/>
  <c r="E2536" i="32"/>
  <c r="G2536" i="32" s="1"/>
  <c r="E2313" i="32"/>
  <c r="G2313" i="32" s="1"/>
  <c r="H2316" i="32" s="1"/>
  <c r="E2301" i="32"/>
  <c r="G2301" i="32" s="1"/>
  <c r="H2304" i="32" s="1"/>
  <c r="E2970" i="32"/>
  <c r="G2970" i="32" s="1"/>
  <c r="E1781" i="32"/>
  <c r="G1781" i="32" s="1"/>
  <c r="G3659" i="32"/>
  <c r="H3660" i="32" s="1"/>
  <c r="D74" i="17"/>
  <c r="D73" i="17"/>
  <c r="D72" i="17"/>
  <c r="D71" i="17"/>
  <c r="D70" i="17"/>
  <c r="D69" i="17"/>
  <c r="D68" i="17"/>
  <c r="D67" i="17"/>
  <c r="G237" i="32"/>
  <c r="H239" i="32" s="1"/>
  <c r="H176" i="32"/>
  <c r="G175" i="32"/>
  <c r="H177" i="32" s="1"/>
  <c r="G167" i="32"/>
  <c r="H169" i="32" s="1"/>
  <c r="G151" i="32"/>
  <c r="H153" i="32" s="1"/>
  <c r="X37" i="40" l="1"/>
  <c r="AJ37" i="40"/>
  <c r="L37" i="40"/>
  <c r="F37" i="40"/>
  <c r="AD37" i="40"/>
  <c r="AJ43" i="40"/>
  <c r="L43" i="40"/>
  <c r="AD43" i="40"/>
  <c r="R43" i="40"/>
  <c r="F43" i="40"/>
  <c r="X43" i="40"/>
  <c r="D69" i="39"/>
  <c r="F69" i="39" s="1"/>
  <c r="D71" i="39"/>
  <c r="F71" i="39" s="1"/>
  <c r="D73" i="39"/>
  <c r="F73" i="39" s="1"/>
  <c r="D75" i="39"/>
  <c r="F75" i="39" s="1"/>
  <c r="D68" i="39"/>
  <c r="D70" i="39"/>
  <c r="F70" i="39" s="1"/>
  <c r="D72" i="39"/>
  <c r="F72" i="39" s="1"/>
  <c r="D74" i="39"/>
  <c r="F74" i="39" s="1"/>
  <c r="E160" i="39"/>
  <c r="F160" i="39" s="1"/>
  <c r="E158" i="39"/>
  <c r="F158" i="39" s="1"/>
  <c r="E156" i="39"/>
  <c r="F156" i="39" s="1"/>
  <c r="E159" i="39"/>
  <c r="F159" i="39" s="1"/>
  <c r="E157" i="39"/>
  <c r="F157" i="39" s="1"/>
  <c r="E162" i="39"/>
  <c r="F162" i="39" s="1"/>
  <c r="E161" i="39"/>
  <c r="F161" i="39" s="1"/>
  <c r="H3795" i="32"/>
  <c r="H3796" i="32" s="1"/>
  <c r="E400" i="39" s="1"/>
  <c r="F400" i="39" s="1"/>
  <c r="H2294" i="32"/>
  <c r="H2295" i="32" s="1"/>
  <c r="E259" i="39" s="1"/>
  <c r="F259" i="39" s="1"/>
  <c r="H1613" i="32"/>
  <c r="H1614" i="32" s="1"/>
  <c r="E188" i="39" s="1"/>
  <c r="F188" i="39" s="1"/>
  <c r="H1642" i="32"/>
  <c r="H1643" i="32" s="1"/>
  <c r="H1683" i="32"/>
  <c r="E195" i="39" s="1"/>
  <c r="F195" i="39" s="1"/>
  <c r="E1801" i="32"/>
  <c r="G1801" i="32" s="1"/>
  <c r="E2983" i="32"/>
  <c r="G2983" i="32" s="1"/>
  <c r="H2317" i="32"/>
  <c r="H2318" i="32" s="1"/>
  <c r="E2548" i="32"/>
  <c r="G2548" i="32" s="1"/>
  <c r="E1886" i="32"/>
  <c r="G1886" i="32" s="1"/>
  <c r="E2500" i="32"/>
  <c r="G2500" i="32" s="1"/>
  <c r="H2505" i="32" s="1"/>
  <c r="E1771" i="32"/>
  <c r="G1771" i="32" s="1"/>
  <c r="E687" i="32"/>
  <c r="E708" i="32"/>
  <c r="G708" i="32" s="1"/>
  <c r="H711" i="32" s="1"/>
  <c r="E3427" i="32"/>
  <c r="G3427" i="32" s="1"/>
  <c r="E2910" i="32"/>
  <c r="G2910" i="32" s="1"/>
  <c r="E1700" i="32"/>
  <c r="G1700" i="32" s="1"/>
  <c r="H1702" i="32" s="1"/>
  <c r="H2305" i="32"/>
  <c r="E2325" i="32"/>
  <c r="G2325" i="32" s="1"/>
  <c r="H2328" i="32" s="1"/>
  <c r="E3285" i="32"/>
  <c r="G3285" i="32" s="1"/>
  <c r="H3287" i="32" s="1"/>
  <c r="H3808" i="32"/>
  <c r="H3809" i="32" s="1"/>
  <c r="H1692" i="32"/>
  <c r="H3662" i="32"/>
  <c r="H3663" i="32" s="1"/>
  <c r="H178" i="32"/>
  <c r="H170" i="32"/>
  <c r="H154" i="32"/>
  <c r="B24" i="42" l="1"/>
  <c r="F68" i="39"/>
  <c r="E192" i="39"/>
  <c r="F192" i="39" s="1"/>
  <c r="E193" i="39"/>
  <c r="F193" i="39" s="1"/>
  <c r="E191" i="39"/>
  <c r="F191" i="39" s="1"/>
  <c r="G687" i="32"/>
  <c r="H690" i="32" s="1"/>
  <c r="H691" i="32" s="1"/>
  <c r="E698" i="32"/>
  <c r="G698" i="32" s="1"/>
  <c r="H700" i="32" s="1"/>
  <c r="H701" i="32" s="1"/>
  <c r="E2747" i="32"/>
  <c r="G2747" i="32" s="1"/>
  <c r="H2749" i="32" s="1"/>
  <c r="H2750" i="32" s="1"/>
  <c r="H2751" i="32" s="1"/>
  <c r="E2128" i="32"/>
  <c r="G2128" i="32" s="1"/>
  <c r="H2130" i="32" s="1"/>
  <c r="H2131" i="32" s="1"/>
  <c r="E2110" i="32"/>
  <c r="G2110" i="32" s="1"/>
  <c r="H2112" i="32" s="1"/>
  <c r="E2050" i="32"/>
  <c r="G2050" i="32" s="1"/>
  <c r="H2052" i="32" s="1"/>
  <c r="H155" i="32"/>
  <c r="H156" i="32" s="1"/>
  <c r="E25" i="39" s="1"/>
  <c r="F25" i="39" s="1"/>
  <c r="H171" i="32"/>
  <c r="H172" i="32" s="1"/>
  <c r="E27" i="39" s="1"/>
  <c r="F27" i="39" s="1"/>
  <c r="H179" i="32"/>
  <c r="H180" i="32" s="1"/>
  <c r="E28" i="39" s="1"/>
  <c r="F28" i="39" s="1"/>
  <c r="H2306" i="32"/>
  <c r="H2307" i="32" s="1"/>
  <c r="E260" i="39" s="1"/>
  <c r="F260" i="39" s="1"/>
  <c r="H1693" i="32"/>
  <c r="H1694" i="32" s="1"/>
  <c r="E196" i="39" s="1"/>
  <c r="F196" i="39" s="1"/>
  <c r="H2319" i="32"/>
  <c r="E261" i="39" s="1"/>
  <c r="F261" i="39" s="1"/>
  <c r="H3810" i="32"/>
  <c r="E401" i="39" s="1"/>
  <c r="F401" i="39" s="1"/>
  <c r="H3288" i="32"/>
  <c r="H3289" i="32" s="1"/>
  <c r="H2329" i="32"/>
  <c r="H2330" i="32" s="1"/>
  <c r="H1703" i="32"/>
  <c r="H1704" i="32" s="1"/>
  <c r="E3562" i="32"/>
  <c r="G3562" i="32" s="1"/>
  <c r="H3564" i="32" s="1"/>
  <c r="E3552" i="32"/>
  <c r="G3552" i="32" s="1"/>
  <c r="H3554" i="32" s="1"/>
  <c r="E1790" i="32"/>
  <c r="G1790" i="32" s="1"/>
  <c r="E1827" i="32"/>
  <c r="G1827" i="32" s="1"/>
  <c r="H1831" i="32" s="1"/>
  <c r="E1896" i="32"/>
  <c r="G1896" i="32" s="1"/>
  <c r="E1943" i="32"/>
  <c r="G1943" i="32" s="1"/>
  <c r="E2560" i="32"/>
  <c r="G2560" i="32" s="1"/>
  <c r="E3048" i="32"/>
  <c r="G3048" i="32" s="1"/>
  <c r="E3028" i="32"/>
  <c r="G3028" i="32" s="1"/>
  <c r="E3038" i="32"/>
  <c r="G3038" i="32" s="1"/>
  <c r="E2758" i="32"/>
  <c r="G2758" i="32" s="1"/>
  <c r="E3314" i="32"/>
  <c r="G3314" i="32" s="1"/>
  <c r="H3316" i="32" s="1"/>
  <c r="E2338" i="32"/>
  <c r="G2338" i="32" s="1"/>
  <c r="H2340" i="32" s="1"/>
  <c r="E1710" i="32"/>
  <c r="E2923" i="32"/>
  <c r="G2923" i="32" s="1"/>
  <c r="H712" i="32"/>
  <c r="E3168" i="32"/>
  <c r="G3168" i="32" s="1"/>
  <c r="H3170" i="32" s="1"/>
  <c r="E3189" i="32"/>
  <c r="G3189" i="32" s="1"/>
  <c r="H3191" i="32" s="1"/>
  <c r="E2512" i="32"/>
  <c r="G2512" i="32" s="1"/>
  <c r="H2517" i="32" s="1"/>
  <c r="E3776" i="32"/>
  <c r="G3776" i="32" s="1"/>
  <c r="E3097" i="32"/>
  <c r="G3097" i="32" s="1"/>
  <c r="E1810" i="32"/>
  <c r="G1810" i="32" s="1"/>
  <c r="E1847" i="32"/>
  <c r="G1847" i="32" s="1"/>
  <c r="H3664" i="32"/>
  <c r="E386" i="39" s="1"/>
  <c r="F386" i="39" s="1"/>
  <c r="G1710" i="32" l="1"/>
  <c r="H1712" i="32" s="1"/>
  <c r="E1718" i="32"/>
  <c r="G1718" i="32" s="1"/>
  <c r="H1722" i="32" s="1"/>
  <c r="F24" i="39"/>
  <c r="H702" i="32"/>
  <c r="H703" i="32" s="1"/>
  <c r="E89" i="39" s="1"/>
  <c r="F89" i="39" s="1"/>
  <c r="H2053" i="32"/>
  <c r="H2132" i="32"/>
  <c r="H2133" i="32" s="1"/>
  <c r="E243" i="39" s="1"/>
  <c r="F243" i="39" s="1"/>
  <c r="H2113" i="32"/>
  <c r="H713" i="32"/>
  <c r="H714" i="32" s="1"/>
  <c r="E90" i="39" s="1"/>
  <c r="F90" i="39" s="1"/>
  <c r="H692" i="32"/>
  <c r="H693" i="32" s="1"/>
  <c r="E88" i="39" s="1"/>
  <c r="F88" i="39" s="1"/>
  <c r="H1705" i="32"/>
  <c r="E2524" i="32"/>
  <c r="G2524" i="32" s="1"/>
  <c r="H2529" i="32" s="1"/>
  <c r="H3171" i="32"/>
  <c r="E1730" i="32"/>
  <c r="G1730" i="32" s="1"/>
  <c r="H1732" i="32" s="1"/>
  <c r="E2374" i="32"/>
  <c r="G2374" i="32" s="1"/>
  <c r="H2376" i="32" s="1"/>
  <c r="E2350" i="32"/>
  <c r="G2350" i="32" s="1"/>
  <c r="H2352" i="32" s="1"/>
  <c r="E2572" i="32"/>
  <c r="G2572" i="32" s="1"/>
  <c r="E784" i="32"/>
  <c r="G784" i="32" s="1"/>
  <c r="H787" i="32" s="1"/>
  <c r="H2331" i="32"/>
  <c r="E262" i="39" s="1"/>
  <c r="F262" i="39" s="1"/>
  <c r="H3290" i="32"/>
  <c r="E348" i="39" s="1"/>
  <c r="F348" i="39" s="1"/>
  <c r="E3109" i="32"/>
  <c r="G3109" i="32" s="1"/>
  <c r="E3121" i="32"/>
  <c r="G3121" i="32" s="1"/>
  <c r="H3192" i="32"/>
  <c r="H3193" i="32" s="1"/>
  <c r="E2946" i="32"/>
  <c r="G2946" i="32" s="1"/>
  <c r="E2935" i="32"/>
  <c r="G2935" i="32" s="1"/>
  <c r="H1713" i="32"/>
  <c r="H1714" i="32" s="1"/>
  <c r="H2341" i="32"/>
  <c r="H2342" i="32" s="1"/>
  <c r="H3317" i="32"/>
  <c r="H3318" i="32" s="1"/>
  <c r="H2752" i="32"/>
  <c r="E299" i="39" s="1"/>
  <c r="F299" i="39" s="1"/>
  <c r="H1832" i="32"/>
  <c r="H3555" i="32"/>
  <c r="H3556" i="32" s="1"/>
  <c r="H3565" i="32"/>
  <c r="H3566" i="32" s="1"/>
  <c r="D19" i="40" l="1"/>
  <c r="X19" i="40" s="1"/>
  <c r="E197" i="39"/>
  <c r="F197" i="39" s="1"/>
  <c r="H2114" i="32"/>
  <c r="H2115" i="32" s="1"/>
  <c r="E241" i="39" s="1"/>
  <c r="F241" i="39" s="1"/>
  <c r="H2054" i="32"/>
  <c r="H2055" i="32" s="1"/>
  <c r="E235" i="39" s="1"/>
  <c r="F235" i="39" s="1"/>
  <c r="H1833" i="32"/>
  <c r="H1834" i="32" s="1"/>
  <c r="E211" i="39" s="1"/>
  <c r="F211" i="39" s="1"/>
  <c r="H3194" i="32"/>
  <c r="E339" i="39" s="1"/>
  <c r="F339" i="39" s="1"/>
  <c r="H3567" i="32"/>
  <c r="E375" i="39" s="1"/>
  <c r="F375" i="39" s="1"/>
  <c r="H3557" i="32"/>
  <c r="E374" i="39" s="1"/>
  <c r="F374" i="39" s="1"/>
  <c r="H3319" i="32"/>
  <c r="H2343" i="32"/>
  <c r="E263" i="39" s="1"/>
  <c r="F263" i="39" s="1"/>
  <c r="H1715" i="32"/>
  <c r="E198" i="39" s="1"/>
  <c r="F198" i="39" s="1"/>
  <c r="E820" i="32"/>
  <c r="G820" i="32" s="1"/>
  <c r="H822" i="32" s="1"/>
  <c r="E2584" i="32"/>
  <c r="G2584" i="32" s="1"/>
  <c r="H2353" i="32"/>
  <c r="H2354" i="32" s="1"/>
  <c r="H2377" i="32"/>
  <c r="H2378" i="32" s="1"/>
  <c r="H1733" i="32"/>
  <c r="H1734" i="32" s="1"/>
  <c r="H3172" i="32"/>
  <c r="H3173" i="32" s="1"/>
  <c r="E337" i="39" s="1"/>
  <c r="F337" i="39" s="1"/>
  <c r="E2995" i="32"/>
  <c r="G2995" i="32" s="1"/>
  <c r="H788" i="32"/>
  <c r="H789" i="32" s="1"/>
  <c r="E797" i="32"/>
  <c r="G797" i="32" s="1"/>
  <c r="H800" i="32" s="1"/>
  <c r="E2361" i="32"/>
  <c r="G2361" i="32" s="1"/>
  <c r="H2364" i="32" s="1"/>
  <c r="H1723" i="32"/>
  <c r="E1740" i="32"/>
  <c r="G1740" i="32" s="1"/>
  <c r="H1743" i="32" s="1"/>
  <c r="E2538" i="32"/>
  <c r="G2538" i="32" s="1"/>
  <c r="H2541" i="32" s="1"/>
  <c r="F38" i="34"/>
  <c r="G38" i="34"/>
  <c r="F334" i="39" l="1"/>
  <c r="AJ19" i="40"/>
  <c r="R19" i="40"/>
  <c r="L19" i="40"/>
  <c r="AD19" i="40"/>
  <c r="F19" i="40"/>
  <c r="H790" i="32"/>
  <c r="E101" i="39" s="1"/>
  <c r="F101" i="39" s="1"/>
  <c r="E2549" i="32"/>
  <c r="G2549" i="32" s="1"/>
  <c r="H2553" i="32" s="1"/>
  <c r="H1744" i="32"/>
  <c r="H1745" i="32" s="1"/>
  <c r="H1724" i="32"/>
  <c r="H1725" i="32" s="1"/>
  <c r="E199" i="39" s="1"/>
  <c r="F199" i="39" s="1"/>
  <c r="H2365" i="32"/>
  <c r="H2366" i="32" s="1"/>
  <c r="E842" i="32"/>
  <c r="G842" i="32" s="1"/>
  <c r="H845" i="32" s="1"/>
  <c r="G807" i="32"/>
  <c r="H810" i="32" s="1"/>
  <c r="H1735" i="32"/>
  <c r="E200" i="39" s="1"/>
  <c r="F200" i="39" s="1"/>
  <c r="H2379" i="32"/>
  <c r="E266" i="39" s="1"/>
  <c r="F266" i="39" s="1"/>
  <c r="H2355" i="32"/>
  <c r="E264" i="39" s="1"/>
  <c r="F264" i="39" s="1"/>
  <c r="H823" i="32"/>
  <c r="H824" i="32" s="1"/>
  <c r="E1761" i="32"/>
  <c r="G1761" i="32" s="1"/>
  <c r="H1763" i="32" s="1"/>
  <c r="E1770" i="32"/>
  <c r="G1770" i="32" s="1"/>
  <c r="H1773" i="32" s="1"/>
  <c r="E1750" i="32"/>
  <c r="G1750" i="32" s="1"/>
  <c r="H1753" i="32" s="1"/>
  <c r="E2386" i="32"/>
  <c r="G2386" i="32" s="1"/>
  <c r="H2388" i="32" s="1"/>
  <c r="H801" i="32"/>
  <c r="H802" i="32" s="1"/>
  <c r="E3018" i="32"/>
  <c r="G3018" i="32" s="1"/>
  <c r="E3007" i="32"/>
  <c r="G3007" i="32" s="1"/>
  <c r="E2596" i="32"/>
  <c r="G2596" i="32" s="1"/>
  <c r="E873" i="32"/>
  <c r="G873" i="32" s="1"/>
  <c r="L39" i="34"/>
  <c r="L40" i="34" s="1"/>
  <c r="K39" i="34"/>
  <c r="K40" i="34" s="1"/>
  <c r="J39" i="34"/>
  <c r="J40" i="34" s="1"/>
  <c r="I39" i="34"/>
  <c r="I40" i="34" s="1"/>
  <c r="H39" i="34"/>
  <c r="H40" i="34" s="1"/>
  <c r="V38" i="34"/>
  <c r="T38" i="34"/>
  <c r="R38" i="34"/>
  <c r="Z38" i="34" s="1"/>
  <c r="Q38" i="34"/>
  <c r="P38" i="34"/>
  <c r="V37" i="34"/>
  <c r="T37" i="34"/>
  <c r="R37" i="34"/>
  <c r="Q37" i="34"/>
  <c r="P37" i="34"/>
  <c r="V36" i="34"/>
  <c r="T36" i="34"/>
  <c r="R36" i="34"/>
  <c r="Q36" i="34"/>
  <c r="P36" i="34"/>
  <c r="V35" i="34"/>
  <c r="T35" i="34"/>
  <c r="R35" i="34"/>
  <c r="Q35" i="34"/>
  <c r="P35" i="34"/>
  <c r="V34" i="34"/>
  <c r="T34" i="34"/>
  <c r="R34" i="34"/>
  <c r="Q34" i="34"/>
  <c r="P34" i="34"/>
  <c r="V33" i="34"/>
  <c r="T33" i="34"/>
  <c r="R33" i="34"/>
  <c r="Q33" i="34"/>
  <c r="P33" i="34"/>
  <c r="V32" i="34"/>
  <c r="T32" i="34"/>
  <c r="R32" i="34"/>
  <c r="Z32" i="34" s="1"/>
  <c r="Q32" i="34"/>
  <c r="P32" i="34"/>
  <c r="V31" i="34"/>
  <c r="T31" i="34"/>
  <c r="R31" i="34"/>
  <c r="Q31" i="34"/>
  <c r="P31" i="34"/>
  <c r="G39" i="34"/>
  <c r="D53" i="17" s="1"/>
  <c r="D55" i="39" s="1"/>
  <c r="F55" i="39" s="1"/>
  <c r="P23" i="34"/>
  <c r="A23" i="34"/>
  <c r="P22" i="34"/>
  <c r="A22" i="34"/>
  <c r="P21" i="34"/>
  <c r="A21" i="34"/>
  <c r="H14" i="34"/>
  <c r="K14" i="34" s="1"/>
  <c r="J13" i="34"/>
  <c r="H13" i="34"/>
  <c r="K13" i="34" s="1"/>
  <c r="H12" i="34"/>
  <c r="K12" i="34" s="1"/>
  <c r="J11" i="34"/>
  <c r="H11" i="34"/>
  <c r="K11" i="34" s="1"/>
  <c r="H10" i="34"/>
  <c r="K10" i="34" s="1"/>
  <c r="D56" i="17" s="1"/>
  <c r="J9" i="34"/>
  <c r="H9" i="34"/>
  <c r="K9" i="34" s="1"/>
  <c r="H8" i="34"/>
  <c r="K8" i="34" s="1"/>
  <c r="J7" i="34"/>
  <c r="H7" i="34"/>
  <c r="K7" i="34" s="1"/>
  <c r="H6" i="34"/>
  <c r="J5" i="34"/>
  <c r="D49" i="17" s="1"/>
  <c r="D50" i="17" l="1"/>
  <c r="Z31" i="34"/>
  <c r="Z34" i="34"/>
  <c r="Z35" i="34"/>
  <c r="Z36" i="34"/>
  <c r="Z33" i="34"/>
  <c r="Z37" i="34"/>
  <c r="K6" i="34"/>
  <c r="D57" i="17" s="1"/>
  <c r="D59" i="39" s="1"/>
  <c r="F59" i="39" s="1"/>
  <c r="D58" i="39"/>
  <c r="F58" i="39" s="1"/>
  <c r="K5" i="34"/>
  <c r="D55" i="17" s="1"/>
  <c r="D57" i="39" s="1"/>
  <c r="F57" i="39" s="1"/>
  <c r="D51" i="39"/>
  <c r="F51" i="39" s="1"/>
  <c r="F152" i="39"/>
  <c r="H811" i="32"/>
  <c r="E3061" i="32"/>
  <c r="G3061" i="32" s="1"/>
  <c r="E2397" i="32"/>
  <c r="G2397" i="32" s="1"/>
  <c r="H2400" i="32" s="1"/>
  <c r="E1780" i="32"/>
  <c r="G1780" i="32" s="1"/>
  <c r="H1783" i="32" s="1"/>
  <c r="H1764" i="32"/>
  <c r="H1765" i="32" s="1"/>
  <c r="H825" i="32"/>
  <c r="E104" i="39" s="1"/>
  <c r="F104" i="39" s="1"/>
  <c r="H2367" i="32"/>
  <c r="E265" i="39" s="1"/>
  <c r="F265" i="39" s="1"/>
  <c r="H1746" i="32"/>
  <c r="E203" i="39" s="1"/>
  <c r="F203" i="39" s="1"/>
  <c r="H876" i="32"/>
  <c r="E2633" i="32"/>
  <c r="G2633" i="32" s="1"/>
  <c r="E2610" i="32"/>
  <c r="G2610" i="32" s="1"/>
  <c r="H803" i="32"/>
  <c r="E102" i="39" s="1"/>
  <c r="F102" i="39" s="1"/>
  <c r="H2389" i="32"/>
  <c r="H2390" i="32" s="1"/>
  <c r="H1754" i="32"/>
  <c r="H1755" i="32" s="1"/>
  <c r="H1774" i="32"/>
  <c r="H1775" i="32" s="1"/>
  <c r="H846" i="32"/>
  <c r="H847" i="32" s="1"/>
  <c r="E2561" i="32"/>
  <c r="G2561" i="32" s="1"/>
  <c r="H2565" i="32" s="1"/>
  <c r="D54" i="17"/>
  <c r="Y32" i="34"/>
  <c r="Y33" i="34"/>
  <c r="Y34" i="34"/>
  <c r="Y35" i="34"/>
  <c r="Y36" i="34"/>
  <c r="Y37" i="34"/>
  <c r="Y38" i="34"/>
  <c r="F39" i="34"/>
  <c r="D59" i="17" s="1"/>
  <c r="Y31" i="34"/>
  <c r="X31" i="34"/>
  <c r="AB31" i="34" s="1"/>
  <c r="X32" i="34"/>
  <c r="X33" i="34"/>
  <c r="X34" i="34"/>
  <c r="AB34" i="34" s="1"/>
  <c r="X35" i="34"/>
  <c r="AB35" i="34" s="1"/>
  <c r="X36" i="34"/>
  <c r="X37" i="34"/>
  <c r="X38" i="34"/>
  <c r="AA36" i="34" l="1"/>
  <c r="AB36" i="34"/>
  <c r="AA32" i="34"/>
  <c r="AB32" i="34"/>
  <c r="AA38" i="34"/>
  <c r="AB38" i="34"/>
  <c r="AA37" i="34"/>
  <c r="AB37" i="34"/>
  <c r="AA33" i="34"/>
  <c r="AB33" i="34"/>
  <c r="D60" i="17"/>
  <c r="D62" i="39" s="1"/>
  <c r="F62" i="39" s="1"/>
  <c r="D61" i="39"/>
  <c r="D56" i="39"/>
  <c r="E2024" i="32"/>
  <c r="G2024" i="32" s="1"/>
  <c r="H2026" i="32" s="1"/>
  <c r="E2014" i="32"/>
  <c r="G2014" i="32" s="1"/>
  <c r="H2016" i="32" s="1"/>
  <c r="E1984" i="32"/>
  <c r="G1984" i="32" s="1"/>
  <c r="H1986" i="32" s="1"/>
  <c r="E1994" i="32"/>
  <c r="G1994" i="32" s="1"/>
  <c r="H1996" i="32" s="1"/>
  <c r="H812" i="32"/>
  <c r="H813" i="32" s="1"/>
  <c r="E103" i="39" s="1"/>
  <c r="F103" i="39" s="1"/>
  <c r="H848" i="32"/>
  <c r="E106" i="39" s="1"/>
  <c r="F106" i="39" s="1"/>
  <c r="E2621" i="32"/>
  <c r="G2621" i="32" s="1"/>
  <c r="E886" i="32"/>
  <c r="G886" i="32" s="1"/>
  <c r="E1791" i="32"/>
  <c r="G1791" i="32" s="1"/>
  <c r="H1793" i="32" s="1"/>
  <c r="E2409" i="32"/>
  <c r="G2409" i="32" s="1"/>
  <c r="H2412" i="32" s="1"/>
  <c r="E3072" i="32"/>
  <c r="G3072" i="32" s="1"/>
  <c r="E2573" i="32"/>
  <c r="G2573" i="32" s="1"/>
  <c r="H2577" i="32" s="1"/>
  <c r="H1776" i="32"/>
  <c r="E206" i="39" s="1"/>
  <c r="F206" i="39" s="1"/>
  <c r="H1756" i="32"/>
  <c r="E204" i="39" s="1"/>
  <c r="F204" i="39" s="1"/>
  <c r="H2391" i="32"/>
  <c r="E267" i="39" s="1"/>
  <c r="F267" i="39" s="1"/>
  <c r="H877" i="32"/>
  <c r="H878" i="32" s="1"/>
  <c r="H1766" i="32"/>
  <c r="E205" i="39" s="1"/>
  <c r="F205" i="39" s="1"/>
  <c r="H1784" i="32"/>
  <c r="H1785" i="32" s="1"/>
  <c r="H2401" i="32"/>
  <c r="H2402" i="32" s="1"/>
  <c r="AA35" i="34"/>
  <c r="AA34" i="34"/>
  <c r="AB39" i="34"/>
  <c r="Z39" i="34"/>
  <c r="D58" i="17" s="1"/>
  <c r="D60" i="39" s="1"/>
  <c r="F60" i="39" s="1"/>
  <c r="Y39" i="34"/>
  <c r="X39" i="34"/>
  <c r="AA31" i="34"/>
  <c r="H1" i="42" l="1"/>
  <c r="F61" i="39"/>
  <c r="B23" i="42"/>
  <c r="F56" i="39"/>
  <c r="D51" i="17"/>
  <c r="F52" i="39" s="1"/>
  <c r="F100" i="39"/>
  <c r="G307" i="32"/>
  <c r="H309" i="32" s="1"/>
  <c r="H310" i="32" s="1"/>
  <c r="H311" i="32" s="1"/>
  <c r="H312" i="32" s="1"/>
  <c r="H1997" i="32"/>
  <c r="H2017" i="32"/>
  <c r="H1987" i="32"/>
  <c r="H2027" i="32"/>
  <c r="H2413" i="32"/>
  <c r="H2414" i="32" s="1"/>
  <c r="H2403" i="32"/>
  <c r="E268" i="39" s="1"/>
  <c r="F268" i="39" s="1"/>
  <c r="H1786" i="32"/>
  <c r="E207" i="39" s="1"/>
  <c r="F207" i="39" s="1"/>
  <c r="H879" i="32"/>
  <c r="E111" i="39" s="1"/>
  <c r="E2585" i="32"/>
  <c r="G2585" i="32" s="1"/>
  <c r="H2589" i="32" s="1"/>
  <c r="E3086" i="32"/>
  <c r="G3086" i="32" s="1"/>
  <c r="E2432" i="32"/>
  <c r="G2432" i="32" s="1"/>
  <c r="H2434" i="32" s="1"/>
  <c r="E2421" i="32"/>
  <c r="G2421" i="32" s="1"/>
  <c r="H2423" i="32" s="1"/>
  <c r="E1800" i="32"/>
  <c r="G1800" i="32" s="1"/>
  <c r="H1803" i="32" s="1"/>
  <c r="E2645" i="32"/>
  <c r="G2645" i="32" s="1"/>
  <c r="H1794" i="32"/>
  <c r="H1795" i="32" s="1"/>
  <c r="E897" i="32"/>
  <c r="G897" i="32" s="1"/>
  <c r="H900" i="32" s="1"/>
  <c r="AA39" i="34"/>
  <c r="D52" i="17" s="1"/>
  <c r="D46" i="40" l="1"/>
  <c r="AJ46" i="40" s="1"/>
  <c r="H9" i="42"/>
  <c r="J9" i="42" s="1"/>
  <c r="H8" i="42"/>
  <c r="J8" i="42" s="1"/>
  <c r="B22" i="42" s="1"/>
  <c r="H6" i="42"/>
  <c r="J6" i="42" s="1"/>
  <c r="B21" i="42" s="1"/>
  <c r="H7" i="42"/>
  <c r="J7" i="42" s="1"/>
  <c r="E48" i="39"/>
  <c r="F48" i="39" s="1"/>
  <c r="D53" i="39"/>
  <c r="F53" i="39" s="1"/>
  <c r="D54" i="39"/>
  <c r="F54" i="39" s="1"/>
  <c r="F46" i="40"/>
  <c r="G293" i="32"/>
  <c r="H295" i="32" s="1"/>
  <c r="H2028" i="32"/>
  <c r="H2029" i="32" s="1"/>
  <c r="H1988" i="32"/>
  <c r="H1989" i="32" s="1"/>
  <c r="E229" i="39" s="1"/>
  <c r="F229" i="39" s="1"/>
  <c r="H2018" i="32"/>
  <c r="H2019" i="32" s="1"/>
  <c r="E232" i="39" s="1"/>
  <c r="F232" i="39" s="1"/>
  <c r="H1998" i="32"/>
  <c r="H1999" i="32" s="1"/>
  <c r="H1796" i="32"/>
  <c r="E208" i="39" s="1"/>
  <c r="F208" i="39" s="1"/>
  <c r="H2415" i="32"/>
  <c r="E269" i="39" s="1"/>
  <c r="F269" i="39" s="1"/>
  <c r="E910" i="32"/>
  <c r="G910" i="32" s="1"/>
  <c r="H913" i="32" s="1"/>
  <c r="E2657" i="32"/>
  <c r="G2657" i="32" s="1"/>
  <c r="E1811" i="32"/>
  <c r="G1811" i="32" s="1"/>
  <c r="H1813" i="32" s="1"/>
  <c r="H2435" i="32"/>
  <c r="H2436" i="32" s="1"/>
  <c r="E3743" i="32"/>
  <c r="G3743" i="32" s="1"/>
  <c r="E2597" i="32"/>
  <c r="G2597" i="32" s="1"/>
  <c r="H2601" i="32" s="1"/>
  <c r="H901" i="32"/>
  <c r="H902" i="32" s="1"/>
  <c r="H1804" i="32"/>
  <c r="H1805" i="32" s="1"/>
  <c r="H2424" i="32"/>
  <c r="H2425" i="32" s="1"/>
  <c r="E2456" i="32"/>
  <c r="G2456" i="32" s="1"/>
  <c r="H2458" i="32" s="1"/>
  <c r="E2444" i="32"/>
  <c r="G2444" i="32" s="1"/>
  <c r="H2446" i="32" s="1"/>
  <c r="L46" i="40" l="1"/>
  <c r="X46" i="40"/>
  <c r="R46" i="40"/>
  <c r="AD46" i="40"/>
  <c r="F50" i="39"/>
  <c r="E234" i="39"/>
  <c r="F234" i="39" s="1"/>
  <c r="E233" i="39"/>
  <c r="F233" i="39" s="1"/>
  <c r="E231" i="39"/>
  <c r="F231" i="39" s="1"/>
  <c r="E230" i="39"/>
  <c r="F230" i="39" s="1"/>
  <c r="H296" i="32"/>
  <c r="H297" i="32" s="1"/>
  <c r="H298" i="32" s="1"/>
  <c r="H903" i="32"/>
  <c r="E115" i="39" s="1"/>
  <c r="H2459" i="32"/>
  <c r="H2460" i="32" s="1"/>
  <c r="H2426" i="32"/>
  <c r="E270" i="39" s="1"/>
  <c r="F270" i="39" s="1"/>
  <c r="H1806" i="32"/>
  <c r="E209" i="39" s="1"/>
  <c r="F209" i="39" s="1"/>
  <c r="E2611" i="32"/>
  <c r="G2611" i="32" s="1"/>
  <c r="H2613" i="32" s="1"/>
  <c r="H2437" i="32"/>
  <c r="E271" i="39" s="1"/>
  <c r="F271" i="39" s="1"/>
  <c r="H1814" i="32"/>
  <c r="H1815" i="32" s="1"/>
  <c r="E2669" i="32"/>
  <c r="G2669" i="32" s="1"/>
  <c r="H914" i="32"/>
  <c r="H915" i="32" s="1"/>
  <c r="H2447" i="32"/>
  <c r="H2448" i="32" s="1"/>
  <c r="E2468" i="32"/>
  <c r="G2468" i="32" s="1"/>
  <c r="H2470" i="32" s="1"/>
  <c r="E2646" i="32"/>
  <c r="G2646" i="32" s="1"/>
  <c r="H2649" i="32" s="1"/>
  <c r="E2622" i="32"/>
  <c r="G2622" i="32" s="1"/>
  <c r="H2625" i="32" s="1"/>
  <c r="E3755" i="32"/>
  <c r="G3755" i="32" s="1"/>
  <c r="E1865" i="32"/>
  <c r="G1865" i="32" s="1"/>
  <c r="H1867" i="32" s="1"/>
  <c r="E1848" i="32"/>
  <c r="G1848" i="32" s="1"/>
  <c r="H1850" i="32" s="1"/>
  <c r="E924" i="32"/>
  <c r="G924" i="32" s="1"/>
  <c r="H926" i="32" s="1"/>
  <c r="D31" i="40" l="1"/>
  <c r="AD31" i="40" s="1"/>
  <c r="E47" i="39"/>
  <c r="F47" i="39" s="1"/>
  <c r="F225" i="39"/>
  <c r="H2461" i="32"/>
  <c r="E273" i="39" s="1"/>
  <c r="F273" i="39" s="1"/>
  <c r="E952" i="32"/>
  <c r="G952" i="32" s="1"/>
  <c r="H955" i="32" s="1"/>
  <c r="H1851" i="32"/>
  <c r="H1852" i="32" s="1"/>
  <c r="E1875" i="32"/>
  <c r="G1875" i="32" s="1"/>
  <c r="H1878" i="32" s="1"/>
  <c r="E2492" i="32"/>
  <c r="G2492" i="32" s="1"/>
  <c r="H2494" i="32" s="1"/>
  <c r="E2480" i="32"/>
  <c r="G2480" i="32" s="1"/>
  <c r="H2482" i="32" s="1"/>
  <c r="H2449" i="32"/>
  <c r="E272" i="39" s="1"/>
  <c r="F272" i="39" s="1"/>
  <c r="H916" i="32"/>
  <c r="E116" i="39" s="1"/>
  <c r="H1816" i="32"/>
  <c r="E210" i="39" s="1"/>
  <c r="F210" i="39" s="1"/>
  <c r="E2634" i="32"/>
  <c r="G2634" i="32" s="1"/>
  <c r="H2637" i="32" s="1"/>
  <c r="H927" i="32"/>
  <c r="H928" i="32" s="1"/>
  <c r="H1868" i="32"/>
  <c r="H1869" i="32" s="1"/>
  <c r="E3436" i="32"/>
  <c r="G3436" i="32" s="1"/>
  <c r="H2471" i="32"/>
  <c r="H2472" i="32" s="1"/>
  <c r="E2681" i="32"/>
  <c r="G2681" i="32" s="1"/>
  <c r="R31" i="40" l="1"/>
  <c r="F31" i="40"/>
  <c r="AJ31" i="40"/>
  <c r="L31" i="40"/>
  <c r="X31" i="40"/>
  <c r="H2483" i="32"/>
  <c r="H2484" i="32" s="1"/>
  <c r="H929" i="32"/>
  <c r="E117" i="39" s="1"/>
  <c r="H1853" i="32"/>
  <c r="E213" i="39" s="1"/>
  <c r="F213" i="39" s="1"/>
  <c r="H1870" i="32"/>
  <c r="E215" i="39" s="1"/>
  <c r="F215" i="39" s="1"/>
  <c r="E2798" i="32"/>
  <c r="E2705" i="32"/>
  <c r="G2705" i="32" s="1"/>
  <c r="E2693" i="32"/>
  <c r="G2693" i="32" s="1"/>
  <c r="H2473" i="32"/>
  <c r="E274" i="39" s="1"/>
  <c r="F274" i="39" s="1"/>
  <c r="E3446" i="32"/>
  <c r="G3446" i="32" s="1"/>
  <c r="E2670" i="32"/>
  <c r="G2670" i="32" s="1"/>
  <c r="H2673" i="32" s="1"/>
  <c r="E2658" i="32"/>
  <c r="G2658" i="32" s="1"/>
  <c r="H2661" i="32" s="1"/>
  <c r="E2504" i="32"/>
  <c r="G2504" i="32" s="1"/>
  <c r="H2506" i="32" s="1"/>
  <c r="E1942" i="32"/>
  <c r="G1942" i="32" s="1"/>
  <c r="H1945" i="32" s="1"/>
  <c r="E1885" i="32"/>
  <c r="G1885" i="32" s="1"/>
  <c r="H1888" i="32" s="1"/>
  <c r="E971" i="32"/>
  <c r="G971" i="32" s="1"/>
  <c r="H973" i="32" s="1"/>
  <c r="H2495" i="32"/>
  <c r="H2496" i="32" s="1"/>
  <c r="H1879" i="32"/>
  <c r="H1880" i="32" s="1"/>
  <c r="H956" i="32"/>
  <c r="H957" i="32" s="1"/>
  <c r="H958" i="32" l="1"/>
  <c r="E119" i="39" s="1"/>
  <c r="H2497" i="32"/>
  <c r="E276" i="39" s="1"/>
  <c r="F276" i="39" s="1"/>
  <c r="H2485" i="32"/>
  <c r="E275" i="39" s="1"/>
  <c r="F275" i="39" s="1"/>
  <c r="H1881" i="32"/>
  <c r="E216" i="39" s="1"/>
  <c r="F216" i="39" s="1"/>
  <c r="H974" i="32"/>
  <c r="H975" i="32" s="1"/>
  <c r="E1915" i="32"/>
  <c r="G1915" i="32" s="1"/>
  <c r="H1917" i="32" s="1"/>
  <c r="E1895" i="32"/>
  <c r="G1895" i="32" s="1"/>
  <c r="H1898" i="32" s="1"/>
  <c r="H1946" i="32"/>
  <c r="H1947" i="32" s="1"/>
  <c r="E2516" i="32"/>
  <c r="G2516" i="32" s="1"/>
  <c r="H2518" i="32" s="1"/>
  <c r="E982" i="32"/>
  <c r="G982" i="32" s="1"/>
  <c r="H985" i="32" s="1"/>
  <c r="H1889" i="32"/>
  <c r="H1890" i="32" s="1"/>
  <c r="H2507" i="32"/>
  <c r="H2508" i="32" s="1"/>
  <c r="E2682" i="32"/>
  <c r="G2682" i="32" s="1"/>
  <c r="H2685" i="32" s="1"/>
  <c r="E3480" i="32"/>
  <c r="G3480" i="32" s="1"/>
  <c r="E3456" i="32"/>
  <c r="G3456" i="32" s="1"/>
  <c r="C64" i="27"/>
  <c r="H976" i="32" l="1"/>
  <c r="E120" i="39" s="1"/>
  <c r="H1948" i="32"/>
  <c r="E223" i="39" s="1"/>
  <c r="F223" i="39" s="1"/>
  <c r="E3491" i="32"/>
  <c r="G3491" i="32" s="1"/>
  <c r="E2694" i="32"/>
  <c r="G2694" i="32" s="1"/>
  <c r="H2697" i="32" s="1"/>
  <c r="H2509" i="32"/>
  <c r="E277" i="39" s="1"/>
  <c r="F277" i="39" s="1"/>
  <c r="H1891" i="32"/>
  <c r="E217" i="39" s="1"/>
  <c r="F217" i="39" s="1"/>
  <c r="E994" i="32"/>
  <c r="G994" i="32" s="1"/>
  <c r="H996" i="32" s="1"/>
  <c r="E2528" i="32"/>
  <c r="G2528" i="32" s="1"/>
  <c r="H2530" i="32" s="1"/>
  <c r="H1918" i="32"/>
  <c r="H1919" i="32" s="1"/>
  <c r="H986" i="32"/>
  <c r="H987" i="32" s="1"/>
  <c r="H2519" i="32"/>
  <c r="H2520" i="32" s="1"/>
  <c r="H1899" i="32"/>
  <c r="H1900" i="32" l="1"/>
  <c r="H1901" i="32" s="1"/>
  <c r="H2521" i="32"/>
  <c r="E278" i="39" s="1"/>
  <c r="F278" i="39" s="1"/>
  <c r="H988" i="32"/>
  <c r="E121" i="39" s="1"/>
  <c r="F121" i="39" s="1"/>
  <c r="H1920" i="32"/>
  <c r="E220" i="39" s="1"/>
  <c r="F220" i="39" s="1"/>
  <c r="E2539" i="32"/>
  <c r="G2539" i="32" s="1"/>
  <c r="H2542" i="32" s="1"/>
  <c r="E3685" i="32"/>
  <c r="G3685" i="32" s="1"/>
  <c r="H3687" i="32" s="1"/>
  <c r="E238" i="32"/>
  <c r="G238" i="32" s="1"/>
  <c r="H240" i="32" s="1"/>
  <c r="H2531" i="32"/>
  <c r="H2532" i="32" s="1"/>
  <c r="H997" i="32"/>
  <c r="H998" i="32" s="1"/>
  <c r="E2706" i="32"/>
  <c r="G2706" i="32" s="1"/>
  <c r="H2709" i="32" s="1"/>
  <c r="E1230" i="32"/>
  <c r="G1230" i="32" s="1"/>
  <c r="H1233" i="32" s="1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H15" i="24" s="1"/>
  <c r="D116" i="17" s="1"/>
  <c r="D112" i="39" s="1"/>
  <c r="B30" i="42" s="1"/>
  <c r="J8" i="24"/>
  <c r="D8" i="24"/>
  <c r="J7" i="24"/>
  <c r="D7" i="24"/>
  <c r="J6" i="24"/>
  <c r="D6" i="24"/>
  <c r="J5" i="24"/>
  <c r="D5" i="24"/>
  <c r="J4" i="24"/>
  <c r="D4" i="24"/>
  <c r="J3" i="24"/>
  <c r="D3" i="24"/>
  <c r="H14" i="24" s="1"/>
  <c r="D34" i="23"/>
  <c r="D33" i="23"/>
  <c r="H19" i="23" s="1"/>
  <c r="D125" i="17" s="1"/>
  <c r="D120" i="39" s="1"/>
  <c r="F120" i="39" s="1"/>
  <c r="D32" i="23"/>
  <c r="H18" i="23" s="1"/>
  <c r="D124" i="17" s="1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J10" i="23"/>
  <c r="D10" i="23"/>
  <c r="J9" i="23"/>
  <c r="D9" i="23"/>
  <c r="H16" i="23" s="1"/>
  <c r="J8" i="23"/>
  <c r="D8" i="23"/>
  <c r="J7" i="23"/>
  <c r="D7" i="23"/>
  <c r="J6" i="23"/>
  <c r="D6" i="23"/>
  <c r="J5" i="23"/>
  <c r="D5" i="23"/>
  <c r="J4" i="23"/>
  <c r="D4" i="23"/>
  <c r="J3" i="23"/>
  <c r="J11" i="23" s="1"/>
  <c r="D3" i="23"/>
  <c r="H17" i="23" s="1"/>
  <c r="D121" i="17" l="1"/>
  <c r="D116" i="39" s="1"/>
  <c r="F116" i="39" s="1"/>
  <c r="D123" i="17"/>
  <c r="D118" i="39" s="1"/>
  <c r="B32" i="42" s="1"/>
  <c r="D119" i="39"/>
  <c r="F119" i="39" s="1"/>
  <c r="D93" i="17"/>
  <c r="D122" i="17"/>
  <c r="D117" i="39" s="1"/>
  <c r="D120" i="17"/>
  <c r="D115" i="39" s="1"/>
  <c r="F115" i="39" s="1"/>
  <c r="D133" i="17"/>
  <c r="D127" i="39" s="1"/>
  <c r="B33" i="42" s="1"/>
  <c r="D115" i="17"/>
  <c r="D111" i="39" s="1"/>
  <c r="F111" i="39" s="1"/>
  <c r="D114" i="17"/>
  <c r="D110" i="39" s="1"/>
  <c r="F110" i="39" s="1"/>
  <c r="E219" i="39"/>
  <c r="F219" i="39" s="1"/>
  <c r="E218" i="39"/>
  <c r="F218" i="39" s="1"/>
  <c r="H1234" i="32"/>
  <c r="H1235" i="32" s="1"/>
  <c r="H999" i="32"/>
  <c r="E122" i="39" s="1"/>
  <c r="F122" i="39" s="1"/>
  <c r="H2533" i="32"/>
  <c r="E279" i="39" s="1"/>
  <c r="F279" i="39" s="1"/>
  <c r="H241" i="32"/>
  <c r="H242" i="32" s="1"/>
  <c r="E2551" i="32"/>
  <c r="G2551" i="32" s="1"/>
  <c r="H2554" i="32" s="1"/>
  <c r="D35" i="23"/>
  <c r="D25" i="24"/>
  <c r="E1034" i="32"/>
  <c r="G1034" i="32" s="1"/>
  <c r="H1036" i="32" s="1"/>
  <c r="E2788" i="32"/>
  <c r="G2788" i="32" s="1"/>
  <c r="H3688" i="32"/>
  <c r="H3689" i="32" s="1"/>
  <c r="H2543" i="32"/>
  <c r="H2544" i="32" s="1"/>
  <c r="J9" i="24"/>
  <c r="D92" i="39" l="1"/>
  <c r="J154" i="38"/>
  <c r="K154" i="38" s="1"/>
  <c r="K156" i="38" s="1"/>
  <c r="M156" i="38" s="1"/>
  <c r="B31" i="42"/>
  <c r="F117" i="39"/>
  <c r="F202" i="39"/>
  <c r="H1236" i="32"/>
  <c r="E148" i="39" s="1"/>
  <c r="F148" i="39" s="1"/>
  <c r="H2545" i="32"/>
  <c r="E280" i="39" s="1"/>
  <c r="F280" i="39" s="1"/>
  <c r="H3690" i="32"/>
  <c r="E389" i="39" s="1"/>
  <c r="F389" i="39" s="1"/>
  <c r="E2799" i="32"/>
  <c r="G2799" i="32" s="1"/>
  <c r="H2555" i="32"/>
  <c r="H2556" i="32" s="1"/>
  <c r="H243" i="32"/>
  <c r="E37" i="39" s="1"/>
  <c r="G1055" i="32"/>
  <c r="H1057" i="32" s="1"/>
  <c r="E2563" i="32"/>
  <c r="G2563" i="32" s="1"/>
  <c r="H2566" i="32" s="1"/>
  <c r="G64" i="27"/>
  <c r="D64" i="17" s="1"/>
  <c r="F147" i="39" l="1"/>
  <c r="F151" i="39"/>
  <c r="B28" i="42"/>
  <c r="B46" i="42" s="1"/>
  <c r="B47" i="42" s="1"/>
  <c r="D37" i="17" s="1"/>
  <c r="F92" i="39"/>
  <c r="F385" i="39"/>
  <c r="F37" i="39"/>
  <c r="D65" i="39"/>
  <c r="F65" i="39" s="1"/>
  <c r="H2567" i="32"/>
  <c r="H2568" i="32" s="1"/>
  <c r="H2557" i="32"/>
  <c r="E281" i="39" s="1"/>
  <c r="F281" i="39" s="1"/>
  <c r="E2575" i="32"/>
  <c r="G2575" i="32" s="1"/>
  <c r="H2578" i="32" s="1"/>
  <c r="G1044" i="32"/>
  <c r="H1046" i="32" s="1"/>
  <c r="E2812" i="32"/>
  <c r="G2812" i="32" s="1"/>
  <c r="F87" i="39" l="1"/>
  <c r="D40" i="40" s="1"/>
  <c r="AD40" i="40" s="1"/>
  <c r="D61" i="40"/>
  <c r="F35" i="39"/>
  <c r="D76" i="40"/>
  <c r="R76" i="40" s="1"/>
  <c r="D64" i="40"/>
  <c r="D38" i="17"/>
  <c r="D42" i="39" s="1"/>
  <c r="F42" i="39" s="1"/>
  <c r="D41" i="39"/>
  <c r="F41" i="39" s="1"/>
  <c r="F64" i="39"/>
  <c r="H2569" i="32"/>
  <c r="E282" i="39" s="1"/>
  <c r="F282" i="39" s="1"/>
  <c r="G1068" i="32"/>
  <c r="H1070" i="32" s="1"/>
  <c r="E2588" i="32"/>
  <c r="G2588" i="32" s="1"/>
  <c r="H2590" i="32" s="1"/>
  <c r="E2824" i="32"/>
  <c r="G2824" i="32" s="1"/>
  <c r="H1047" i="32"/>
  <c r="H1048" i="32" s="1"/>
  <c r="H2579" i="32"/>
  <c r="H2580" i="32" s="1"/>
  <c r="E53" i="32"/>
  <c r="G53" i="32" s="1"/>
  <c r="H77" i="32" s="1"/>
  <c r="H79" i="32" s="1"/>
  <c r="H80" i="32" s="1"/>
  <c r="L40" i="40" l="1"/>
  <c r="AD76" i="40"/>
  <c r="AJ76" i="40"/>
  <c r="AJ40" i="40"/>
  <c r="L76" i="40"/>
  <c r="X40" i="40"/>
  <c r="X61" i="40"/>
  <c r="AD61" i="40"/>
  <c r="R61" i="40"/>
  <c r="AJ61" i="40"/>
  <c r="F61" i="40"/>
  <c r="L61" i="40"/>
  <c r="F76" i="40"/>
  <c r="X76" i="40"/>
  <c r="F40" i="40"/>
  <c r="R40" i="40"/>
  <c r="D34" i="40"/>
  <c r="R34" i="40" s="1"/>
  <c r="R64" i="40"/>
  <c r="AJ64" i="40"/>
  <c r="L64" i="40"/>
  <c r="F64" i="40"/>
  <c r="X64" i="40"/>
  <c r="AD64" i="40"/>
  <c r="D22" i="40"/>
  <c r="F39" i="39"/>
  <c r="H2581" i="32"/>
  <c r="E283" i="39" s="1"/>
  <c r="F283" i="39" s="1"/>
  <c r="H1049" i="32"/>
  <c r="E128" i="39" s="1"/>
  <c r="F128" i="39" s="1"/>
  <c r="H2591" i="32"/>
  <c r="H2592" i="32" s="1"/>
  <c r="H1071" i="32"/>
  <c r="H1072" i="32" s="1"/>
  <c r="E2836" i="32"/>
  <c r="G2836" i="32" s="1"/>
  <c r="E2608" i="32"/>
  <c r="G2608" i="32" s="1"/>
  <c r="H2614" i="32" s="1"/>
  <c r="E2599" i="32"/>
  <c r="G2599" i="32" s="1"/>
  <c r="H2602" i="32" s="1"/>
  <c r="H81" i="32"/>
  <c r="E18" i="39" s="1"/>
  <c r="F18" i="39" s="1"/>
  <c r="D25" i="40" l="1"/>
  <c r="X25" i="40" s="1"/>
  <c r="AD34" i="40"/>
  <c r="F34" i="40"/>
  <c r="AJ34" i="40"/>
  <c r="L34" i="40"/>
  <c r="X34" i="40"/>
  <c r="F16" i="39"/>
  <c r="AJ22" i="40"/>
  <c r="R22" i="40"/>
  <c r="L22" i="40"/>
  <c r="F22" i="40"/>
  <c r="AD22" i="40"/>
  <c r="X22" i="40"/>
  <c r="E1080" i="32"/>
  <c r="G1080" i="32" s="1"/>
  <c r="H1083" i="32" s="1"/>
  <c r="H2615" i="32"/>
  <c r="H2616" i="32" s="1"/>
  <c r="H1073" i="32"/>
  <c r="E130" i="39" s="1"/>
  <c r="F130" i="39" s="1"/>
  <c r="H2593" i="32"/>
  <c r="E284" i="39" s="1"/>
  <c r="F284" i="39" s="1"/>
  <c r="H2603" i="32"/>
  <c r="H2604" i="32" s="1"/>
  <c r="E2647" i="32"/>
  <c r="G2647" i="32" s="1"/>
  <c r="H2650" i="32" s="1"/>
  <c r="E2624" i="32"/>
  <c r="G2624" i="32" s="1"/>
  <c r="H2626" i="32" s="1"/>
  <c r="E2848" i="32"/>
  <c r="G2848" i="32" s="1"/>
  <c r="E2872" i="32"/>
  <c r="G2872" i="32" s="1"/>
  <c r="L25" i="40" l="1"/>
  <c r="F25" i="40"/>
  <c r="R25" i="40"/>
  <c r="D16" i="40"/>
  <c r="AJ16" i="40" s="1"/>
  <c r="H2605" i="32"/>
  <c r="E285" i="39" s="1"/>
  <c r="F285" i="39" s="1"/>
  <c r="H2651" i="32"/>
  <c r="H2652" i="32" s="1"/>
  <c r="H2617" i="32"/>
  <c r="E286" i="39" s="1"/>
  <c r="F286" i="39" s="1"/>
  <c r="H1084" i="32"/>
  <c r="H1085" i="32" s="1"/>
  <c r="H2627" i="32"/>
  <c r="H2628" i="32" s="1"/>
  <c r="E2860" i="32"/>
  <c r="G2860" i="32" s="1"/>
  <c r="E2635" i="32"/>
  <c r="G2635" i="32" s="1"/>
  <c r="H2638" i="32" s="1"/>
  <c r="E1091" i="32"/>
  <c r="G1091" i="32" s="1"/>
  <c r="H1094" i="32" s="1"/>
  <c r="E1207" i="32"/>
  <c r="G1207" i="32" s="1"/>
  <c r="H1212" i="32" s="1"/>
  <c r="H1214" i="32" s="1"/>
  <c r="H1215" i="32" s="1"/>
  <c r="R16" i="40" l="1"/>
  <c r="AD16" i="40"/>
  <c r="L16" i="40"/>
  <c r="X16" i="40"/>
  <c r="F16" i="40"/>
  <c r="E2659" i="32"/>
  <c r="G2659" i="32" s="1"/>
  <c r="H2662" i="32" s="1"/>
  <c r="E2671" i="32"/>
  <c r="G2671" i="32" s="1"/>
  <c r="H2674" i="32" s="1"/>
  <c r="H1095" i="32"/>
  <c r="H1096" i="32" s="1"/>
  <c r="E1101" i="32"/>
  <c r="H2639" i="32"/>
  <c r="H2640" i="32" s="1"/>
  <c r="E2883" i="32"/>
  <c r="G2883" i="32" s="1"/>
  <c r="H2629" i="32"/>
  <c r="E287" i="39" s="1"/>
  <c r="F287" i="39" s="1"/>
  <c r="H1086" i="32"/>
  <c r="E131" i="39" s="1"/>
  <c r="F131" i="39" s="1"/>
  <c r="H2653" i="32"/>
  <c r="E289" i="39" s="1"/>
  <c r="F289" i="39" s="1"/>
  <c r="H1216" i="32"/>
  <c r="E144" i="39" s="1"/>
  <c r="F144" i="39" s="1"/>
  <c r="F135" i="39" l="1"/>
  <c r="D58" i="40" s="1"/>
  <c r="G1101" i="32"/>
  <c r="H1104" i="32" s="1"/>
  <c r="H1105" i="32" s="1"/>
  <c r="H1106" i="32" s="1"/>
  <c r="H2641" i="32"/>
  <c r="E288" i="39" s="1"/>
  <c r="F288" i="39" s="1"/>
  <c r="E2895" i="32"/>
  <c r="G2895" i="32" s="1"/>
  <c r="E936" i="32"/>
  <c r="G936" i="32" s="1"/>
  <c r="H939" i="32" s="1"/>
  <c r="E2683" i="32"/>
  <c r="G2683" i="32" s="1"/>
  <c r="H2686" i="32" s="1"/>
  <c r="H1097" i="32"/>
  <c r="E132" i="39" s="1"/>
  <c r="F132" i="39" s="1"/>
  <c r="H2675" i="32"/>
  <c r="H2676" i="32" s="1"/>
  <c r="H2663" i="32"/>
  <c r="H2664" i="32" s="1"/>
  <c r="F58" i="40" l="1"/>
  <c r="R58" i="40"/>
  <c r="AD58" i="40"/>
  <c r="L58" i="40"/>
  <c r="X58" i="40"/>
  <c r="AJ58" i="40"/>
  <c r="H889" i="32"/>
  <c r="H890" i="32" s="1"/>
  <c r="H891" i="32" s="1"/>
  <c r="H2677" i="32"/>
  <c r="E291" i="39" s="1"/>
  <c r="F291" i="39" s="1"/>
  <c r="H1107" i="32"/>
  <c r="E133" i="39" s="1"/>
  <c r="F133" i="39" s="1"/>
  <c r="F45" i="39"/>
  <c r="H2665" i="32"/>
  <c r="E290" i="39" s="1"/>
  <c r="F290" i="39" s="1"/>
  <c r="E2695" i="32"/>
  <c r="G2695" i="32" s="1"/>
  <c r="H2698" i="32" s="1"/>
  <c r="E2907" i="32"/>
  <c r="G2907" i="32" s="1"/>
  <c r="H2687" i="32"/>
  <c r="H2688" i="32" s="1"/>
  <c r="H940" i="32"/>
  <c r="H941" i="32" s="1"/>
  <c r="G2798" i="32"/>
  <c r="H2803" i="32" s="1"/>
  <c r="F44" i="39" l="1"/>
  <c r="E2823" i="32"/>
  <c r="G2823" i="32" s="1"/>
  <c r="H2827" i="32" s="1"/>
  <c r="H942" i="32"/>
  <c r="E118" i="39" s="1"/>
  <c r="F118" i="39" s="1"/>
  <c r="H2689" i="32"/>
  <c r="E292" i="39" s="1"/>
  <c r="F292" i="39" s="1"/>
  <c r="H892" i="32"/>
  <c r="E112" i="39" s="1"/>
  <c r="F112" i="39" s="1"/>
  <c r="H2699" i="32"/>
  <c r="H2700" i="32" s="1"/>
  <c r="E2787" i="32"/>
  <c r="G2787" i="32" s="1"/>
  <c r="H2791" i="32" s="1"/>
  <c r="E2811" i="32"/>
  <c r="G2811" i="32" s="1"/>
  <c r="H2815" i="32" s="1"/>
  <c r="E2920" i="32"/>
  <c r="G2920" i="32" s="1"/>
  <c r="E2707" i="32"/>
  <c r="G2707" i="32" s="1"/>
  <c r="H2710" i="32" s="1"/>
  <c r="E2755" i="32"/>
  <c r="G2755" i="32" s="1"/>
  <c r="H2759" i="32" s="1"/>
  <c r="F114" i="39" l="1"/>
  <c r="D52" i="40" s="1"/>
  <c r="D28" i="40"/>
  <c r="R28" i="40" s="1"/>
  <c r="F109" i="39"/>
  <c r="D49" i="40" s="1"/>
  <c r="AJ49" i="40" s="1"/>
  <c r="H2711" i="32"/>
  <c r="H2712" i="32" s="1"/>
  <c r="E2932" i="32"/>
  <c r="G2932" i="32" s="1"/>
  <c r="E2718" i="32"/>
  <c r="G2718" i="32" s="1"/>
  <c r="H2721" i="32" s="1"/>
  <c r="H2701" i="32"/>
  <c r="E293" i="39" s="1"/>
  <c r="F293" i="39" s="1"/>
  <c r="E2835" i="32"/>
  <c r="G2835" i="32" s="1"/>
  <c r="H2839" i="32" s="1"/>
  <c r="R52" i="40" l="1"/>
  <c r="L52" i="40"/>
  <c r="L28" i="40"/>
  <c r="AD28" i="40"/>
  <c r="AJ28" i="40"/>
  <c r="F52" i="40"/>
  <c r="AJ52" i="40"/>
  <c r="X28" i="40"/>
  <c r="F28" i="40"/>
  <c r="AD52" i="40"/>
  <c r="X52" i="40"/>
  <c r="L49" i="40"/>
  <c r="F49" i="40"/>
  <c r="R49" i="40"/>
  <c r="AD49" i="40"/>
  <c r="X49" i="40"/>
  <c r="H2713" i="32"/>
  <c r="E294" i="39" s="1"/>
  <c r="F294" i="39" s="1"/>
  <c r="E2859" i="32"/>
  <c r="G2859" i="32" s="1"/>
  <c r="H2863" i="32" s="1"/>
  <c r="E2846" i="32"/>
  <c r="G2846" i="32" s="1"/>
  <c r="H2851" i="32" s="1"/>
  <c r="H2722" i="32"/>
  <c r="H2723" i="32" s="1"/>
  <c r="E2729" i="32"/>
  <c r="G2729" i="32" s="1"/>
  <c r="H2732" i="32" s="1"/>
  <c r="E2944" i="32"/>
  <c r="G2944" i="32" s="1"/>
  <c r="H2724" i="32" l="1"/>
  <c r="E295" i="39" s="1"/>
  <c r="F295" i="39" s="1"/>
  <c r="H2733" i="32"/>
  <c r="H2734" i="32" s="1"/>
  <c r="E2956" i="32"/>
  <c r="G2956" i="32" s="1"/>
  <c r="E2767" i="32"/>
  <c r="G2767" i="32" s="1"/>
  <c r="H2770" i="32" s="1"/>
  <c r="E2757" i="32"/>
  <c r="G2757" i="32" s="1"/>
  <c r="H2760" i="32" s="1"/>
  <c r="E2871" i="32"/>
  <c r="G2871" i="32" s="1"/>
  <c r="H2875" i="32" s="1"/>
  <c r="E2882" i="32" l="1"/>
  <c r="G2882" i="32" s="1"/>
  <c r="H2887" i="32" s="1"/>
  <c r="H2761" i="32"/>
  <c r="H2762" i="32" s="1"/>
  <c r="E2778" i="32"/>
  <c r="G2778" i="32" s="1"/>
  <c r="H2780" i="32" s="1"/>
  <c r="E2969" i="32"/>
  <c r="G2969" i="32" s="1"/>
  <c r="E2981" i="32"/>
  <c r="G2981" i="32" s="1"/>
  <c r="H2735" i="32"/>
  <c r="E296" i="39" s="1"/>
  <c r="F296" i="39" s="1"/>
  <c r="H2771" i="32"/>
  <c r="H2772" i="32" s="1"/>
  <c r="F246" i="39" l="1"/>
  <c r="H2763" i="32"/>
  <c r="E300" i="39" s="1"/>
  <c r="F300" i="39" s="1"/>
  <c r="E2790" i="32"/>
  <c r="G2790" i="32" s="1"/>
  <c r="H2792" i="32" s="1"/>
  <c r="E2802" i="32"/>
  <c r="G2802" i="32" s="1"/>
  <c r="H2804" i="32" s="1"/>
  <c r="H2773" i="32"/>
  <c r="E301" i="39" s="1"/>
  <c r="F301" i="39" s="1"/>
  <c r="E2992" i="32"/>
  <c r="G2992" i="32" s="1"/>
  <c r="H2781" i="32"/>
  <c r="H2782" i="32" s="1"/>
  <c r="E2894" i="32"/>
  <c r="G2894" i="32" s="1"/>
  <c r="H2899" i="32" s="1"/>
  <c r="H2783" i="32" l="1"/>
  <c r="E302" i="39" s="1"/>
  <c r="F302" i="39" s="1"/>
  <c r="E2906" i="32"/>
  <c r="G2906" i="32" s="1"/>
  <c r="H2911" i="32" s="1"/>
  <c r="E3004" i="32"/>
  <c r="G3004" i="32" s="1"/>
  <c r="H2805" i="32"/>
  <c r="H2806" i="32" s="1"/>
  <c r="H2793" i="32"/>
  <c r="H2794" i="32" s="1"/>
  <c r="E2814" i="32"/>
  <c r="G2814" i="32" s="1"/>
  <c r="H2816" i="32" s="1"/>
  <c r="H2817" i="32" l="1"/>
  <c r="H2818" i="32" s="1"/>
  <c r="E3017" i="32"/>
  <c r="G3017" i="32" s="1"/>
  <c r="E2826" i="32"/>
  <c r="G2826" i="32" s="1"/>
  <c r="H2828" i="32" s="1"/>
  <c r="H2795" i="32"/>
  <c r="E303" i="39" s="1"/>
  <c r="F303" i="39" s="1"/>
  <c r="H2807" i="32"/>
  <c r="E304" i="39" s="1"/>
  <c r="F304" i="39" s="1"/>
  <c r="E2918" i="32"/>
  <c r="G2918" i="32" s="1"/>
  <c r="H2924" i="32" s="1"/>
  <c r="H2819" i="32" l="1"/>
  <c r="E305" i="39" s="1"/>
  <c r="F305" i="39" s="1"/>
  <c r="H2829" i="32"/>
  <c r="H2830" i="32" s="1"/>
  <c r="E2931" i="32"/>
  <c r="G2931" i="32" s="1"/>
  <c r="H2936" i="32" s="1"/>
  <c r="E2837" i="32"/>
  <c r="G2837" i="32" s="1"/>
  <c r="H2840" i="32" s="1"/>
  <c r="E3058" i="32"/>
  <c r="G3058" i="32" s="1"/>
  <c r="H2841" i="32" l="1"/>
  <c r="H2842" i="32" s="1"/>
  <c r="E2943" i="32"/>
  <c r="G2943" i="32" s="1"/>
  <c r="H2948" i="32" s="1"/>
  <c r="E3070" i="32"/>
  <c r="G3070" i="32" s="1"/>
  <c r="E2873" i="32"/>
  <c r="G2873" i="32" s="1"/>
  <c r="H2876" i="32" s="1"/>
  <c r="E2849" i="32"/>
  <c r="G2849" i="32" s="1"/>
  <c r="H2852" i="32" s="1"/>
  <c r="H2831" i="32"/>
  <c r="E306" i="39" s="1"/>
  <c r="F306" i="39" s="1"/>
  <c r="H2877" i="32" l="1"/>
  <c r="H2878" i="32" s="1"/>
  <c r="H2853" i="32"/>
  <c r="H2854" i="32" s="1"/>
  <c r="E2955" i="32"/>
  <c r="G2955" i="32" s="1"/>
  <c r="H2960" i="32" s="1"/>
  <c r="E2861" i="32"/>
  <c r="G2861" i="32" s="1"/>
  <c r="H2864" i="32" s="1"/>
  <c r="E3095" i="32"/>
  <c r="G3095" i="32" s="1"/>
  <c r="H2843" i="32"/>
  <c r="E307" i="39" s="1"/>
  <c r="F307" i="39" s="1"/>
  <c r="H2879" i="32" l="1"/>
  <c r="E310" i="39" s="1"/>
  <c r="F310" i="39" s="1"/>
  <c r="H2855" i="32"/>
  <c r="E308" i="39" s="1"/>
  <c r="F308" i="39" s="1"/>
  <c r="E3106" i="32"/>
  <c r="G3106" i="32" s="1"/>
  <c r="H2865" i="32"/>
  <c r="H2866" i="32" s="1"/>
  <c r="E2980" i="32"/>
  <c r="G2980" i="32" s="1"/>
  <c r="H2984" i="32" s="1"/>
  <c r="E2967" i="32"/>
  <c r="G2967" i="32" s="1"/>
  <c r="H2972" i="32" s="1"/>
  <c r="E2885" i="32"/>
  <c r="G2885" i="32" s="1"/>
  <c r="H2888" i="32" s="1"/>
  <c r="H2867" i="32" l="1"/>
  <c r="E309" i="39" s="1"/>
  <c r="F309" i="39" s="1"/>
  <c r="H2889" i="32"/>
  <c r="H2890" i="32" s="1"/>
  <c r="E3118" i="32"/>
  <c r="G3118" i="32" s="1"/>
  <c r="E2898" i="32"/>
  <c r="G2898" i="32" s="1"/>
  <c r="H2900" i="32" s="1"/>
  <c r="E2991" i="32"/>
  <c r="G2991" i="32" s="1"/>
  <c r="H2996" i="32" s="1"/>
  <c r="H2901" i="32" l="1"/>
  <c r="H2902" i="32" s="1"/>
  <c r="E3003" i="32"/>
  <c r="G3003" i="32" s="1"/>
  <c r="H3008" i="32" s="1"/>
  <c r="E2909" i="32"/>
  <c r="G2909" i="32" s="1"/>
  <c r="H2912" i="32" s="1"/>
  <c r="E3741" i="32"/>
  <c r="G3741" i="32" s="1"/>
  <c r="E3754" i="32"/>
  <c r="G3754" i="32" s="1"/>
  <c r="H2891" i="32"/>
  <c r="E311" i="39" s="1"/>
  <c r="F311" i="39" s="1"/>
  <c r="H2903" i="32" l="1"/>
  <c r="E312" i="39" s="1"/>
  <c r="F312" i="39" s="1"/>
  <c r="E2922" i="32"/>
  <c r="G2922" i="32" s="1"/>
  <c r="H2925" i="32" s="1"/>
  <c r="E3015" i="32"/>
  <c r="G3015" i="32" s="1"/>
  <c r="H3020" i="32" s="1"/>
  <c r="H2913" i="32"/>
  <c r="H2914" i="32" s="1"/>
  <c r="H2915" i="32" l="1"/>
  <c r="E313" i="39" s="1"/>
  <c r="F313" i="39" s="1"/>
  <c r="E3057" i="32"/>
  <c r="G3057" i="32" s="1"/>
  <c r="H3062" i="32" s="1"/>
  <c r="H2926" i="32"/>
  <c r="H2927" i="32" s="1"/>
  <c r="E2934" i="32"/>
  <c r="G2934" i="32" s="1"/>
  <c r="H2937" i="32" s="1"/>
  <c r="E2947" i="32" l="1"/>
  <c r="G2947" i="32" s="1"/>
  <c r="H2949" i="32" s="1"/>
  <c r="H2928" i="32"/>
  <c r="E314" i="39" s="1"/>
  <c r="F314" i="39" s="1"/>
  <c r="H2938" i="32"/>
  <c r="H2939" i="32" s="1"/>
  <c r="E3069" i="32"/>
  <c r="G3069" i="32" s="1"/>
  <c r="H3074" i="32" s="1"/>
  <c r="H2940" i="32" l="1"/>
  <c r="E315" i="39" s="1"/>
  <c r="F315" i="39" s="1"/>
  <c r="H2950" i="32"/>
  <c r="H2951" i="32" s="1"/>
  <c r="E3096" i="32"/>
  <c r="G3096" i="32" s="1"/>
  <c r="H3099" i="32" s="1"/>
  <c r="E2958" i="32"/>
  <c r="G2958" i="32" s="1"/>
  <c r="H2961" i="32" s="1"/>
  <c r="H2952" i="32" l="1"/>
  <c r="E316" i="39" s="1"/>
  <c r="F316" i="39" s="1"/>
  <c r="E2971" i="32"/>
  <c r="G2971" i="32" s="1"/>
  <c r="H2973" i="32" s="1"/>
  <c r="H2962" i="32"/>
  <c r="H2963" i="32" s="1"/>
  <c r="E3108" i="32"/>
  <c r="G3108" i="32" s="1"/>
  <c r="H3111" i="32" s="1"/>
  <c r="E2982" i="32" l="1"/>
  <c r="G2982" i="32" s="1"/>
  <c r="H2985" i="32" s="1"/>
  <c r="E3120" i="32"/>
  <c r="G3120" i="32" s="1"/>
  <c r="H3123" i="32" s="1"/>
  <c r="H2964" i="32"/>
  <c r="E317" i="39" s="1"/>
  <c r="F317" i="39" s="1"/>
  <c r="H2974" i="32"/>
  <c r="H2975" i="32" s="1"/>
  <c r="H2976" i="32" l="1"/>
  <c r="E318" i="39" s="1"/>
  <c r="F318" i="39" s="1"/>
  <c r="E3752" i="32"/>
  <c r="G3752" i="32" s="1"/>
  <c r="H3757" i="32" s="1"/>
  <c r="E3740" i="32"/>
  <c r="G3740" i="32" s="1"/>
  <c r="H3745" i="32" s="1"/>
  <c r="E2994" i="32"/>
  <c r="G2994" i="32" s="1"/>
  <c r="H2997" i="32" s="1"/>
  <c r="H2986" i="32"/>
  <c r="H2987" i="32" s="1"/>
  <c r="H2988" i="32" l="1"/>
  <c r="E319" i="39" s="1"/>
  <c r="F319" i="39" s="1"/>
  <c r="E3006" i="32"/>
  <c r="G3006" i="32" s="1"/>
  <c r="H3009" i="32" s="1"/>
  <c r="H2998" i="32"/>
  <c r="H2999" i="32" s="1"/>
  <c r="H3000" i="32" l="1"/>
  <c r="E320" i="39" s="1"/>
  <c r="F320" i="39" s="1"/>
  <c r="H3010" i="32"/>
  <c r="H3011" i="32" s="1"/>
  <c r="E3019" i="32"/>
  <c r="G3019" i="32" s="1"/>
  <c r="H3021" i="32" s="1"/>
  <c r="E3029" i="32"/>
  <c r="G3029" i="32" s="1"/>
  <c r="H3031" i="32" s="1"/>
  <c r="H3032" i="32" l="1"/>
  <c r="H3033" i="32" s="1"/>
  <c r="H3012" i="32"/>
  <c r="E321" i="39" s="1"/>
  <c r="F321" i="39" s="1"/>
  <c r="E3039" i="32"/>
  <c r="G3039" i="32" s="1"/>
  <c r="H3041" i="32" s="1"/>
  <c r="E3049" i="32"/>
  <c r="G3049" i="32" s="1"/>
  <c r="H3051" i="32" s="1"/>
  <c r="H3022" i="32"/>
  <c r="H3023" i="32" s="1"/>
  <c r="H3034" i="32" l="1"/>
  <c r="E323" i="39" s="1"/>
  <c r="F323" i="39" s="1"/>
  <c r="H3024" i="32"/>
  <c r="E322" i="39" s="1"/>
  <c r="F322" i="39" s="1"/>
  <c r="H3052" i="32"/>
  <c r="H3053" i="32" s="1"/>
  <c r="E3060" i="32"/>
  <c r="G3060" i="32" s="1"/>
  <c r="H3063" i="32" s="1"/>
  <c r="H3042" i="32"/>
  <c r="H3043" i="32" s="1"/>
  <c r="H3044" i="32" l="1"/>
  <c r="E324" i="39" s="1"/>
  <c r="F324" i="39" s="1"/>
  <c r="H3064" i="32"/>
  <c r="H3065" i="32" s="1"/>
  <c r="H3054" i="32"/>
  <c r="E325" i="39" s="1"/>
  <c r="F325" i="39" s="1"/>
  <c r="E3073" i="32"/>
  <c r="G3073" i="32" s="1"/>
  <c r="H3075" i="32" s="1"/>
  <c r="E3085" i="32" l="1"/>
  <c r="G3085" i="32" s="1"/>
  <c r="H3088" i="32" s="1"/>
  <c r="H3066" i="32"/>
  <c r="E326" i="39" s="1"/>
  <c r="F326" i="39" s="1"/>
  <c r="H3076" i="32"/>
  <c r="H3077" i="32" s="1"/>
  <c r="H3078" i="32" l="1"/>
  <c r="E327" i="39" s="1"/>
  <c r="F327" i="39" s="1"/>
  <c r="E3098" i="32"/>
  <c r="G3098" i="32" s="1"/>
  <c r="H3100" i="32" s="1"/>
  <c r="H3089" i="32"/>
  <c r="H3090" i="32" s="1"/>
  <c r="H3091" i="32" l="1"/>
  <c r="E328" i="39" s="1"/>
  <c r="F328" i="39" s="1"/>
  <c r="E3110" i="32"/>
  <c r="G3110" i="32" s="1"/>
  <c r="H3112" i="32" s="1"/>
  <c r="E3122" i="32"/>
  <c r="G3122" i="32" s="1"/>
  <c r="H3124" i="32" s="1"/>
  <c r="H3101" i="32"/>
  <c r="H3102" i="32" s="1"/>
  <c r="H3103" i="32" l="1"/>
  <c r="E329" i="39" s="1"/>
  <c r="F329" i="39" s="1"/>
  <c r="H3125" i="32"/>
  <c r="H3126" i="32" s="1"/>
  <c r="E3131" i="32"/>
  <c r="G3131" i="32" s="1"/>
  <c r="H3134" i="32" s="1"/>
  <c r="H3113" i="32"/>
  <c r="H3114" i="32" s="1"/>
  <c r="H3135" i="32" l="1"/>
  <c r="H3136" i="32" s="1"/>
  <c r="H3127" i="32"/>
  <c r="E331" i="39" s="1"/>
  <c r="F331" i="39" s="1"/>
  <c r="H3115" i="32"/>
  <c r="E330" i="39" s="1"/>
  <c r="F330" i="39" s="1"/>
  <c r="E3744" i="32"/>
  <c r="G3744" i="32" s="1"/>
  <c r="H3746" i="32" s="1"/>
  <c r="H3137" i="32" l="1"/>
  <c r="E332" i="39" s="1"/>
  <c r="F332" i="39" s="1"/>
  <c r="E3756" i="32"/>
  <c r="G3756" i="32" s="1"/>
  <c r="H3758" i="32" s="1"/>
  <c r="H3747" i="32"/>
  <c r="H3748" i="32" s="1"/>
  <c r="F298" i="39" l="1"/>
  <c r="H3749" i="32"/>
  <c r="E396" i="39" s="1"/>
  <c r="F396" i="39" s="1"/>
  <c r="E3765" i="32"/>
  <c r="G3765" i="32" s="1"/>
  <c r="H3768" i="32" s="1"/>
  <c r="E3777" i="32"/>
  <c r="G3777" i="32" s="1"/>
  <c r="H3779" i="32" s="1"/>
  <c r="H3759" i="32"/>
  <c r="H3760" i="32" s="1"/>
  <c r="F245" i="39" l="1"/>
  <c r="H3761" i="32"/>
  <c r="E397" i="39" s="1"/>
  <c r="F397" i="39" s="1"/>
  <c r="E3426" i="32"/>
  <c r="G3426" i="32" s="1"/>
  <c r="H3429" i="32" s="1"/>
  <c r="H3769" i="32"/>
  <c r="H3770" i="32" s="1"/>
  <c r="H3780" i="32"/>
  <c r="H3781" i="32" s="1"/>
  <c r="D67" i="40" l="1"/>
  <c r="H3771" i="32"/>
  <c r="E398" i="39" s="1"/>
  <c r="F398" i="39" s="1"/>
  <c r="H3430" i="32"/>
  <c r="H3431" i="32" s="1"/>
  <c r="H3782" i="32"/>
  <c r="E399" i="39" s="1"/>
  <c r="F399" i="39" s="1"/>
  <c r="E3437" i="32"/>
  <c r="G3437" i="32" s="1"/>
  <c r="H3439" i="32" s="1"/>
  <c r="E3447" i="32"/>
  <c r="G3447" i="32" s="1"/>
  <c r="H3449" i="32" s="1"/>
  <c r="R67" i="40" l="1"/>
  <c r="L67" i="40"/>
  <c r="AD67" i="40"/>
  <c r="F67" i="40"/>
  <c r="AJ67" i="40"/>
  <c r="X67" i="40"/>
  <c r="F394" i="39"/>
  <c r="H3440" i="32"/>
  <c r="H3441" i="32" s="1"/>
  <c r="H3432" i="32"/>
  <c r="E362" i="39" s="1"/>
  <c r="F362" i="39" s="1"/>
  <c r="H3450" i="32"/>
  <c r="H3451" i="32" s="1"/>
  <c r="E3481" i="32"/>
  <c r="G3481" i="32" s="1"/>
  <c r="H3484" i="32" s="1"/>
  <c r="E3492" i="32"/>
  <c r="G3492" i="32" s="1"/>
  <c r="H3494" i="32" s="1"/>
  <c r="E3457" i="32"/>
  <c r="G3457" i="32" s="1"/>
  <c r="H3459" i="32" s="1"/>
  <c r="F393" i="39" l="1"/>
  <c r="D79" i="40" s="1"/>
  <c r="AJ79" i="40" s="1"/>
  <c r="H3452" i="32"/>
  <c r="E364" i="39" s="1"/>
  <c r="F364" i="39" s="1"/>
  <c r="H3442" i="32"/>
  <c r="E363" i="39" s="1"/>
  <c r="F363" i="39" s="1"/>
  <c r="H3485" i="32"/>
  <c r="H3486" i="32" s="1"/>
  <c r="H3460" i="32"/>
  <c r="H3461" i="32" s="1"/>
  <c r="H3495" i="32"/>
  <c r="H3496" i="32" s="1"/>
  <c r="R79" i="40" l="1"/>
  <c r="F79" i="40"/>
  <c r="AD79" i="40"/>
  <c r="L79" i="40"/>
  <c r="X79" i="40"/>
  <c r="H3497" i="32"/>
  <c r="E368" i="39" s="1"/>
  <c r="F368" i="39" s="1"/>
  <c r="H3462" i="32"/>
  <c r="E365" i="39" s="1"/>
  <c r="F365" i="39" s="1"/>
  <c r="H3487" i="32"/>
  <c r="E367" i="39" s="1"/>
  <c r="F367" i="39" s="1"/>
  <c r="F361" i="39" l="1"/>
  <c r="G1052" i="32"/>
  <c r="H1056" i="32" s="1"/>
  <c r="H1058" i="32" s="1"/>
  <c r="E1031" i="32"/>
  <c r="G1031" i="32" s="1"/>
  <c r="H1035" i="32" s="1"/>
  <c r="H1037" i="32" s="1"/>
  <c r="D70" i="40" l="1"/>
  <c r="AJ70" i="40" s="1"/>
  <c r="H1038" i="32"/>
  <c r="H1039" i="32" s="1"/>
  <c r="E127" i="39" s="1"/>
  <c r="F127" i="39" s="1"/>
  <c r="H1059" i="32"/>
  <c r="H1060" i="32" s="1"/>
  <c r="E129" i="39" s="1"/>
  <c r="F129" i="39" s="1"/>
  <c r="L70" i="40" l="1"/>
  <c r="R70" i="40"/>
  <c r="X70" i="40"/>
  <c r="AD70" i="40"/>
  <c r="F70" i="40"/>
  <c r="F126" i="39"/>
  <c r="D55" i="40" l="1"/>
  <c r="L55" i="40" s="1"/>
  <c r="E3629" i="32"/>
  <c r="R55" i="40" l="1"/>
  <c r="X55" i="40"/>
  <c r="AJ55" i="40"/>
  <c r="F55" i="40"/>
  <c r="AD55" i="40"/>
  <c r="G3629" i="32"/>
  <c r="H3632" i="32" s="1"/>
  <c r="H3633" i="32" s="1"/>
  <c r="E3649" i="32"/>
  <c r="G3649" i="32" s="1"/>
  <c r="H3652" i="32" s="1"/>
  <c r="H3653" i="32" s="1"/>
  <c r="H3654" i="32" s="1"/>
  <c r="H3655" i="32" s="1"/>
  <c r="E383" i="39" s="1"/>
  <c r="F383" i="39" s="1"/>
  <c r="H3613" i="32"/>
  <c r="H3634" i="32" l="1"/>
  <c r="H3635" i="32" s="1"/>
  <c r="E382" i="39" s="1"/>
  <c r="F382" i="39" s="1"/>
  <c r="H3614" i="32"/>
  <c r="H3615" i="32" s="1"/>
  <c r="E381" i="39" s="1"/>
  <c r="F381" i="39" s="1"/>
  <c r="F380" i="39" l="1"/>
  <c r="F404" i="39" l="1"/>
  <c r="D73" i="40"/>
  <c r="AD73" i="40" l="1"/>
  <c r="AD82" i="40" s="1"/>
  <c r="D82" i="40"/>
  <c r="L73" i="40"/>
  <c r="L82" i="40" s="1"/>
  <c r="R73" i="40"/>
  <c r="R82" i="40" s="1"/>
  <c r="AJ73" i="40"/>
  <c r="AJ82" i="40" s="1"/>
  <c r="F73" i="40"/>
  <c r="F82" i="40" s="1"/>
  <c r="X73" i="40"/>
  <c r="X82" i="40" s="1"/>
  <c r="F84" i="40" l="1"/>
  <c r="X83" i="40"/>
  <c r="AJ83" i="40"/>
  <c r="E70" i="40"/>
  <c r="E34" i="40"/>
  <c r="E13" i="40"/>
  <c r="E52" i="40"/>
  <c r="E19" i="40"/>
  <c r="E37" i="40"/>
  <c r="E58" i="40"/>
  <c r="E61" i="40"/>
  <c r="E43" i="40"/>
  <c r="E76" i="40"/>
  <c r="E64" i="40"/>
  <c r="E16" i="40"/>
  <c r="E46" i="40"/>
  <c r="E31" i="40"/>
  <c r="E22" i="40"/>
  <c r="E28" i="40"/>
  <c r="E25" i="40"/>
  <c r="E49" i="40"/>
  <c r="E40" i="40"/>
  <c r="E67" i="40"/>
  <c r="E79" i="40"/>
  <c r="E55" i="40"/>
  <c r="R83" i="40"/>
  <c r="E73" i="40"/>
  <c r="L83" i="40"/>
  <c r="AD83" i="40"/>
  <c r="F83" i="40" l="1"/>
  <c r="L84" i="40"/>
  <c r="R84" i="40" s="1"/>
  <c r="X84" i="40" s="1"/>
  <c r="F85" i="40"/>
  <c r="L85" i="40" s="1"/>
  <c r="E82" i="40"/>
  <c r="R85" i="40" l="1"/>
  <c r="AD84" i="40"/>
  <c r="X85" i="40"/>
  <c r="AD85" i="40" l="1"/>
  <c r="AJ84" i="40"/>
  <c r="AJ85" i="40" s="1"/>
</calcChain>
</file>

<file path=xl/sharedStrings.xml><?xml version="1.0" encoding="utf-8"?>
<sst xmlns="http://schemas.openxmlformats.org/spreadsheetml/2006/main" count="11074" uniqueCount="2626">
  <si>
    <t>-</t>
  </si>
  <si>
    <t>OBSERVAÇÕES:</t>
  </si>
  <si>
    <t>TOTAL GERAL</t>
  </si>
  <si>
    <t>PINTURA</t>
  </si>
  <si>
    <t>18.1</t>
  </si>
  <si>
    <t>18.2</t>
  </si>
  <si>
    <t>PEITORIL DE GRANITO 25X2 CM</t>
  </si>
  <si>
    <t>GUARDA CORPO TUBO FERRO GALVANIZADO 1.1/2`</t>
  </si>
  <si>
    <t>SOLEIRA EM GRANITO</t>
  </si>
  <si>
    <t>LIMPEZA FINAL DE OBRA - (OBRAS CIVIS)</t>
  </si>
  <si>
    <t>ADMINISTRAÇÃO DA OBRA</t>
  </si>
  <si>
    <t>ENGENHEIRO (OBRAS CIVIS)</t>
  </si>
  <si>
    <t>MESTRE DE OBRA (OBRAS CIVIS)</t>
  </si>
  <si>
    <t>M2</t>
  </si>
  <si>
    <t>UN</t>
  </si>
  <si>
    <t>M</t>
  </si>
  <si>
    <t>KG</t>
  </si>
  <si>
    <t>PAREDES E PAINÉIS</t>
  </si>
  <si>
    <t>ESQUADRIAS</t>
  </si>
  <si>
    <t>VIDROS</t>
  </si>
  <si>
    <t>COBERTURA</t>
  </si>
  <si>
    <t>IMPERMEABILIZAÇÃO</t>
  </si>
  <si>
    <t>REVESTIMENTOS DE PAREDES INTERNAS / EXTERNAS</t>
  </si>
  <si>
    <t>PISOS</t>
  </si>
  <si>
    <t>14.1</t>
  </si>
  <si>
    <t>14.2</t>
  </si>
  <si>
    <t>INSTALAÇÕES HIDRO-SANITÁRIAS</t>
  </si>
  <si>
    <t>LOUÇAS E METAIS</t>
  </si>
  <si>
    <t>PORTA PAPEL HIGIENICO EM INOX</t>
  </si>
  <si>
    <t>TOALHEIRO INOX</t>
  </si>
  <si>
    <t>BARRA P/ DEFICIENTE FÍSICO B6 PADRÃO AGETOP</t>
  </si>
  <si>
    <t xml:space="preserve">REDE DE ÁGUA FRIA </t>
  </si>
  <si>
    <t xml:space="preserve">ADAPTADOR CURTO PVC MARROM CLASSE 15  Ø 25 X 3/4"  </t>
  </si>
  <si>
    <t xml:space="preserve">ADAPTADOR CURTO PVC MARROM CLASSE 15 Ø 32 X 1" </t>
  </si>
  <si>
    <t xml:space="preserve">ADAPTADOR CURTO PVC MARROM CLASSE 15  Ø 50 X 1.1/2"  </t>
  </si>
  <si>
    <t>TUBO DE PVC RIGIDO MARROM CLASSE 15  Ø 25 MM</t>
  </si>
  <si>
    <t>TUBO DE PVC RIGIDO MARROM CLASSE 15  Ø 32 MM</t>
  </si>
  <si>
    <t>TUBO DE PVC RIGIDO MARROM CLASSE 15  Ø 50 MM</t>
  </si>
  <si>
    <t>TUBO DE PVC RIGIDO MARROM CLASSE 15  Ø 60 MM</t>
  </si>
  <si>
    <t>TUBO DE PVC RIGIDO MARROM CLASSE 15  Ø 75 MM</t>
  </si>
  <si>
    <t xml:space="preserve">JOELHO 90 SOLDÁVEL PVC MARROM CLASSE 15  Ø 25 MM  </t>
  </si>
  <si>
    <t xml:space="preserve">JOELHO 90 SOLDÁVEL PVC MARROM CLASSE 15  Ø 32 MM  </t>
  </si>
  <si>
    <t xml:space="preserve">JOELHO 90 SOLDÁVEL PVC MARROM CLASSE 15  Ø 50 MM  </t>
  </si>
  <si>
    <t xml:space="preserve">JOELHO 90 SOLDÁVEL PVC MARROM CLASSE 15  Ø 75 MM  </t>
  </si>
  <si>
    <t xml:space="preserve">JOELHO 90 L/R COM BUCHA DE LATAO CLASSE 15  Ø 25 X 1/2"  </t>
  </si>
  <si>
    <t xml:space="preserve">JOELHO 90 L/R COM BUCHA DE LATAO CLASSE 15  Ø 25 X 3/4"  </t>
  </si>
  <si>
    <t>REGISTRO DE GAVETA CROMADO COM CANOPLA DIÂMETRO 1"</t>
  </si>
  <si>
    <t>REGISTRO DE GAVETA BRUTO DIÂMETRO 2.1/2"</t>
  </si>
  <si>
    <t xml:space="preserve">TE 90 SOLDÁVEL PVC CLASSE 15  Ø 25 MM  </t>
  </si>
  <si>
    <t xml:space="preserve">TE 90 SOLDÁVEL PVC CLASSE 15  Ø 32 MM  </t>
  </si>
  <si>
    <t xml:space="preserve">TE 90 SOLDÁVEL PVC CLASSE 15  Ø 50 MM  </t>
  </si>
  <si>
    <t xml:space="preserve">TE 90 SOLDÁVEL PVC CLASSE 15  Ø 60 MM  </t>
  </si>
  <si>
    <t xml:space="preserve">TE 90 SOLDÁVEL PVC CLASSE 15  Ø 75 MM  </t>
  </si>
  <si>
    <t xml:space="preserve">TE DE REDUÇÃO 90 SOLDÁVEL PVC CLASSE 15  Ø 32 X 25 MM  </t>
  </si>
  <si>
    <t xml:space="preserve">BUCHA DE REDUÇÃO SOLDÁVEL CURTA PVC CLASSE 15  Ø 75 X 60 MM  </t>
  </si>
  <si>
    <t xml:space="preserve">BUCHA DE REDUÇÃO SOLDÁVEL CURTA PVC CLASSE 15  Ø 60 X 50 MM  </t>
  </si>
  <si>
    <t xml:space="preserve">BUCHA DE REDUÇÃO SOLDÁVEL LONGA PVC CLASSE 15  Ø 50 X 25 MM  </t>
  </si>
  <si>
    <t xml:space="preserve">BUCHA DE REDUÇÃO SOLDÁVEL LONGA PVC CLASSE 15  Ø 75 X 50 MM  </t>
  </si>
  <si>
    <t>ESGOTO / ÁGUA PLUVIAL</t>
  </si>
  <si>
    <t xml:space="preserve">TUBO DE PVC RIGIDO SÉRIE "A"  ESGOTO SANITÁRIO Ø 40 MM  </t>
  </si>
  <si>
    <t xml:space="preserve">TUBO DE PVC RIGIDO SÉRIE "A"  ESGOTO SANITÁRIO Ø 50 MM  </t>
  </si>
  <si>
    <t xml:space="preserve">TUBO DE PVC RIGIDO SÉRIE "A"  ESGOTO SANITÁRIO Ø 75 MM  </t>
  </si>
  <si>
    <t xml:space="preserve">TUBO DE PVC RIGIDO SÉRIE"A"  ESGOTO SANITÁRIO Ø 100 MM  </t>
  </si>
  <si>
    <t>CURVA 90° CURTA 40 MM</t>
  </si>
  <si>
    <t>CURVA 90° CURTA 50 MM</t>
  </si>
  <si>
    <t xml:space="preserve">JOELHO 45 SOLDÁVEL PVC ESGOTO SÉRIE "A" Ø 40 MM  </t>
  </si>
  <si>
    <t xml:space="preserve">JOELHO 45 SOLDÁVEL PVC ESGOTO SÉRIE "A" Ø 50 MM  </t>
  </si>
  <si>
    <t xml:space="preserve">JOELHO 45 SOLDÁVEL PVC ESGOTO SÉRIE "A" Ø 75 MM  </t>
  </si>
  <si>
    <t xml:space="preserve">JOELHO 45 SOLDÁVEL PVC ESGOTO SÉRIE "A" Ø 100 MM  </t>
  </si>
  <si>
    <t xml:space="preserve">JOELHO 90 SOLDÁVEL PVC ESGOTO SÉRIE "A" Ø 50 MM  </t>
  </si>
  <si>
    <t xml:space="preserve">JOELHO 90 SOLDÁVEL PVC ESGOTO SÉRIE "A" Ø 100 MM  </t>
  </si>
  <si>
    <t xml:space="preserve">JOELHO 90 SOLDÁVEL C/ ANEL P/ ESGOTO SECUNDÁRIO SÉRIE "A" Ø 40 MM - 1.1/2" </t>
  </si>
  <si>
    <t>JUNÇÃO SIMPLES PVC ESGOTO SÉRIE "A" Ø 75 X 75 MM</t>
  </si>
  <si>
    <t>JUNÇÃO SIMPLES PVC ESGOTO SÉRIE "A" Ø 100 X 100 MM</t>
  </si>
  <si>
    <t>JUNÇÃO SIMPLES PVC ESGOTO SÉRIE "A" Ø 75 X 50 MM</t>
  </si>
  <si>
    <t>JUNÇÃO SIMPLES PVC ESGOTO SÉRIE "A" Ø 100 X 50 MM</t>
  </si>
  <si>
    <t>JUNÇÃO SIMPLES PVC ESGOTO SÉRIE "A" Ø 100 X 75 MM</t>
  </si>
  <si>
    <t xml:space="preserve">LUVA SIMPLES PVC ESGOTO SÉRIE "A"  Ø 50 MM  </t>
  </si>
  <si>
    <t xml:space="preserve">LUVA SIMPLES PVC ESGOTO SÉRIE "A"  Ø 75 MM  </t>
  </si>
  <si>
    <t xml:space="preserve">LUVA SIMPLES PVC ESGOTO SÉRIE "A"  Ø 100 MM  </t>
  </si>
  <si>
    <t>REDUÇÃO EXCÊNTRICA 75X50 MM</t>
  </si>
  <si>
    <t>REDUÇÃO EXCÊNTRICA 100X50 MM</t>
  </si>
  <si>
    <t>REDUÇÃO EXCÊNTRICA 100X75 MM</t>
  </si>
  <si>
    <t xml:space="preserve">TE DE SANITÁRIO   PVC   SÉRIE  "A"               Ø 50X50 MM  </t>
  </si>
  <si>
    <t xml:space="preserve">TE DE SANITÁRIO   PVC   SÉRIE  "A"               Ø 75X75 MM  </t>
  </si>
  <si>
    <t xml:space="preserve">TE DE SANITÁRIO PVC SÉRIE "A"                    Ø 75X50 MM  </t>
  </si>
  <si>
    <t>TUBO DE AÇO GALVANIZADO CLASSE MÉDIA C/ COSTURA Ø 2.1/2"</t>
  </si>
  <si>
    <t>TÊ 90° FERRO GALVANIZADO DE 2.1/2"</t>
  </si>
  <si>
    <t xml:space="preserve">UN </t>
  </si>
  <si>
    <t>NIPLE DUPLO FERRO GALVANIZADO DE 2.1/2"</t>
  </si>
  <si>
    <t>CURVA 90° DE AÇO SOLDÁVEL 2 1/2" (65MM)</t>
  </si>
  <si>
    <t>HIDRANTES</t>
  </si>
  <si>
    <t>PLACA DE SINALIZAÇÃO VERTICAL - EXTINTORES</t>
  </si>
  <si>
    <t>FITA DE SINALIZAÇÃO HORIZONTAL -EXTINTORES</t>
  </si>
  <si>
    <t>PLACAS DE 20X15 CM</t>
  </si>
  <si>
    <t>LIGAÇÃO PROVISÓRIA DE ÁGUA</t>
  </si>
  <si>
    <t>M³</t>
  </si>
  <si>
    <t>M3</t>
  </si>
  <si>
    <t>5.0</t>
  </si>
  <si>
    <t>ACO CA-60 - 5,0 MM - (OBRAS CIVIS)</t>
  </si>
  <si>
    <t>ACO CA 50-A - 8,0 MM (5/16") - (OBRAS CIVIS)</t>
  </si>
  <si>
    <t>ACO CA 50-A - 10,0 MM - (OBRAS CIVIS)</t>
  </si>
  <si>
    <t>ACO CA 50-A - 12,5 MM - (OBRAS CIVIS)</t>
  </si>
  <si>
    <t>LANCAMENTO/APLICACAO CONC.EM FUNDAÇÃO- (O.C.)</t>
  </si>
  <si>
    <t>M²</t>
  </si>
  <si>
    <t>TOTAL</t>
  </si>
  <si>
    <t>SUBTOTAL</t>
  </si>
  <si>
    <t>OBRA GINÁSIO POLIESPORTIVO</t>
  </si>
  <si>
    <t>CHAPISCO</t>
  </si>
  <si>
    <t>REBOCO</t>
  </si>
  <si>
    <t>EMBOÇO</t>
  </si>
  <si>
    <t>14.3</t>
  </si>
  <si>
    <t>H</t>
  </si>
  <si>
    <t>CUBA DE LOUÇA DE SOBREPOR RETANGULAR</t>
  </si>
  <si>
    <t>TRANSPORTES COMERCIAIS DE MATERIAIS, EQUIPAMENTOS E OUTROS EM HIDROVIA</t>
  </si>
  <si>
    <t>T</t>
  </si>
  <si>
    <t>sala multiuso/frente</t>
  </si>
  <si>
    <t>largura</t>
  </si>
  <si>
    <t>sl. Multiuso/lado</t>
  </si>
  <si>
    <t>arquibancada/frente</t>
  </si>
  <si>
    <t>sl. Multiuso/arqu.</t>
  </si>
  <si>
    <t>arquibancada/lateral</t>
  </si>
  <si>
    <t>arquibancada/fundo</t>
  </si>
  <si>
    <t>sl. Multiuso/hall publico</t>
  </si>
  <si>
    <t>vest.masc/fundo</t>
  </si>
  <si>
    <t>vest.masc/escada</t>
  </si>
  <si>
    <t>Is.masc/sanit.</t>
  </si>
  <si>
    <t>ves.masc/Is.masc</t>
  </si>
  <si>
    <t>Is.masc/entradaatletas</t>
  </si>
  <si>
    <t>Vest. fem/fundo</t>
  </si>
  <si>
    <t>Vest. Fem/escada</t>
  </si>
  <si>
    <t>chuv./sanit masc</t>
  </si>
  <si>
    <t>chuv./sanit fem</t>
  </si>
  <si>
    <t>Vest.fem/Is.fem</t>
  </si>
  <si>
    <t xml:space="preserve">Isfem/sanit.fem </t>
  </si>
  <si>
    <t>Vest.fem/chuveiro</t>
  </si>
  <si>
    <t>vest.masc/chuveiro</t>
  </si>
  <si>
    <t>Vest.fem/quadra</t>
  </si>
  <si>
    <t>Is.fem/entradaatletas</t>
  </si>
  <si>
    <t>Is PNEmasc/quadra</t>
  </si>
  <si>
    <t>IsPNEmasc/Lat. hall atleta</t>
  </si>
  <si>
    <t>Is PNEfem/quadra</t>
  </si>
  <si>
    <t>IsPNEfem/Lat. hall atleta</t>
  </si>
  <si>
    <t>escada/lateral/vest.masc</t>
  </si>
  <si>
    <t>escada/lateral/vest.fem</t>
  </si>
  <si>
    <t>Ismasc/fem/coord/frente</t>
  </si>
  <si>
    <t>Ismasc/entradapublico</t>
  </si>
  <si>
    <t>Ismasc/Isfem</t>
  </si>
  <si>
    <t>Isfem/coord</t>
  </si>
  <si>
    <t>deposito/cirulação</t>
  </si>
  <si>
    <t>Ismasc/Isfem/haal Is</t>
  </si>
  <si>
    <t>Hall Is/circulação</t>
  </si>
  <si>
    <t>Coord/deposito</t>
  </si>
  <si>
    <t>elevador/arquibanca/hallpublico</t>
  </si>
  <si>
    <t>circulação/arquibancada</t>
  </si>
  <si>
    <t>hallpublico/arquibancada</t>
  </si>
  <si>
    <t>SUPERIOR</t>
  </si>
  <si>
    <t>Slmultiuso/Slmultiuso</t>
  </si>
  <si>
    <t>Slmultiuso/arquibancada</t>
  </si>
  <si>
    <t>Salasmultiuso/circulação/frente</t>
  </si>
  <si>
    <t>Slsmultiuso/Circulação</t>
  </si>
  <si>
    <t>Escada/circulação</t>
  </si>
  <si>
    <t>Largura(m)</t>
  </si>
  <si>
    <t>Fosso/circulação</t>
  </si>
  <si>
    <t>elevadorfundo/circulaçao</t>
  </si>
  <si>
    <t>elevadorlateral/circulaçao</t>
  </si>
  <si>
    <t>Sl multiuso/arquibancada</t>
  </si>
  <si>
    <t>Sl multiuso/lateral</t>
  </si>
  <si>
    <t>Sl multiuso/Circulação</t>
  </si>
  <si>
    <t>altura</t>
  </si>
  <si>
    <t>Portao/entradaatletas</t>
  </si>
  <si>
    <t>Portao/entradapublico</t>
  </si>
  <si>
    <t>Escadapalco/lateral</t>
  </si>
  <si>
    <t>Palco/fundo</t>
  </si>
  <si>
    <t>Lateralpalco/lateral</t>
  </si>
  <si>
    <t>area</t>
  </si>
  <si>
    <t>Altura</t>
  </si>
  <si>
    <t>Esquadrias</t>
  </si>
  <si>
    <t>PT1</t>
  </si>
  <si>
    <t>PM1</t>
  </si>
  <si>
    <t>PE1</t>
  </si>
  <si>
    <t>PE2</t>
  </si>
  <si>
    <t>J1</t>
  </si>
  <si>
    <t>J2</t>
  </si>
  <si>
    <t>J3</t>
  </si>
  <si>
    <t>J4</t>
  </si>
  <si>
    <t>area m2</t>
  </si>
  <si>
    <t>Vest-IsPNE.masc/quadra</t>
  </si>
  <si>
    <t>Coord/deposito/lateral</t>
  </si>
  <si>
    <t>TOTAL m2</t>
  </si>
  <si>
    <t>ELEMENTO VAZADO</t>
  </si>
  <si>
    <t>QTD</t>
  </si>
  <si>
    <t>LARGURA</t>
  </si>
  <si>
    <t>ALTURA</t>
  </si>
  <si>
    <t>AREA</t>
  </si>
  <si>
    <t>QUANT</t>
  </si>
  <si>
    <t>SOMA</t>
  </si>
  <si>
    <t>PD1</t>
  </si>
  <si>
    <t>PALCO</t>
  </si>
  <si>
    <t>DIVISORIA DE GRANITO</t>
  </si>
  <si>
    <t>IS MASCULINO</t>
  </si>
  <si>
    <t>IS FEMININO</t>
  </si>
  <si>
    <t>VEST MASCULINO</t>
  </si>
  <si>
    <t>VEST FEMININO</t>
  </si>
  <si>
    <t xml:space="preserve">IS DEF FEM </t>
  </si>
  <si>
    <t>IS DEF MASC</t>
  </si>
  <si>
    <t>TIPO</t>
  </si>
  <si>
    <t>VAO</t>
  </si>
  <si>
    <t xml:space="preserve">VAO </t>
  </si>
  <si>
    <t>Alvenaria</t>
  </si>
  <si>
    <t>TOTAL (m2)</t>
  </si>
  <si>
    <t>Local</t>
  </si>
  <si>
    <t>ARQUIBANCADA</t>
  </si>
  <si>
    <t>SL MULTIUSO</t>
  </si>
  <si>
    <t>CIRCULAÇÃO</t>
  </si>
  <si>
    <t>COORDENAÇÃO</t>
  </si>
  <si>
    <t>DEPOSITO</t>
  </si>
  <si>
    <t>QUADRA</t>
  </si>
  <si>
    <t>CIRCULAÇÃO QUADRA</t>
  </si>
  <si>
    <t>GRANITINA</t>
  </si>
  <si>
    <t>CIRCULAÇÃO WC</t>
  </si>
  <si>
    <t>PORCELANATO</t>
  </si>
  <si>
    <t>PORTAO DE FERRO EM CHAPA PLANA 14"</t>
  </si>
  <si>
    <t>HALL ACESSO PUBLICO</t>
  </si>
  <si>
    <t>IS MASC</t>
  </si>
  <si>
    <t>IS FEM</t>
  </si>
  <si>
    <t>VEST MASC</t>
  </si>
  <si>
    <t>BANHO MASC</t>
  </si>
  <si>
    <t>IS MASC VEST</t>
  </si>
  <si>
    <t>SANIT MASC</t>
  </si>
  <si>
    <t>IS MASC PNE</t>
  </si>
  <si>
    <t>HALL ACESSO ATLETAS</t>
  </si>
  <si>
    <t>IS FEM PNE</t>
  </si>
  <si>
    <t>IS FEM VEST</t>
  </si>
  <si>
    <t>IS FEM SANIT</t>
  </si>
  <si>
    <t>VEST FEM</t>
  </si>
  <si>
    <t>BANHO FEM</t>
  </si>
  <si>
    <t>MEMORIAL DE CALCULO</t>
  </si>
  <si>
    <t>MEMORIA DE CALCULO DE ALVENARIA</t>
  </si>
  <si>
    <t>REVESTIMENTOS</t>
  </si>
  <si>
    <t xml:space="preserve">TIPO </t>
  </si>
  <si>
    <t>REBOBO P/ PINTURA</t>
  </si>
  <si>
    <t>(44,20[L]+24,00[C])*2LADOS*0,85[H]</t>
  </si>
  <si>
    <t>CORRIMAO EM TUBO ACO GALVANIZADO 2 1/2" COM BRACADEIRA</t>
  </si>
  <si>
    <t>6,00[C]ESCADA*2[UN]+7,20C[C] ESCADA</t>
  </si>
  <si>
    <t>62,49*1,10[PALCOC/ ESCADA]+7,2*1,10[ESCADAPUBLICO]+ (96,46*1,75) + (8,90*1,25)+(7,7*1,0)[GRADEPROTEÇAOQUADRA]</t>
  </si>
  <si>
    <t xml:space="preserve">1,00[C]*8[UN]+1,10*2[UN] </t>
  </si>
  <si>
    <t>1,06[ISMAS/FEM]+1,79[VESTMASC/FEM]+1,26[ISVESTMASC/FEM]+0,77[PNEMASC/FEM]</t>
  </si>
  <si>
    <t>PISO EM GRANILITE BRANCO, INCLUSO JUNTAS DE DILATACAO PLASTICAS E POLIMENTO MECANICO</t>
  </si>
  <si>
    <t>RODAPE EM ARGAMASSA TRACO 1:0,5:5 (CIMENTO, CAL E AREIA), LARGURA 8CM, PREPARO MECANICO</t>
  </si>
  <si>
    <t>MEMORIAL DE CALCULO DE REV. DE PISO</t>
  </si>
  <si>
    <t>COMP.</t>
  </si>
  <si>
    <t>LARG</t>
  </si>
  <si>
    <t>B</t>
  </si>
  <si>
    <t>A</t>
  </si>
  <si>
    <t>D</t>
  </si>
  <si>
    <t>2[L]*6,70[C](MARQUISE FUNDO)</t>
  </si>
  <si>
    <t>C</t>
  </si>
  <si>
    <t>REVESTIMENTO PISO</t>
  </si>
  <si>
    <t>PISO LAMINADO</t>
  </si>
  <si>
    <t>CONC. DESEMP.</t>
  </si>
  <si>
    <t>RODAPÉ</t>
  </si>
  <si>
    <t>LARG.</t>
  </si>
  <si>
    <t>TERREO</t>
  </si>
  <si>
    <t>RODAPE</t>
  </si>
  <si>
    <t xml:space="preserve">CONCRETO </t>
  </si>
  <si>
    <t>MEMORIAL DE ALVENARIA</t>
  </si>
  <si>
    <t>ESTRUTURA METALICA EM ACO ESTRUTURAL</t>
  </si>
  <si>
    <t>REGISTRO DE GAVETA CROMADO COM CANOPLA DIÂMETRO 1.1/2"</t>
  </si>
  <si>
    <t>REGISTRO PRESSAO 3/4" COM CANOPLA ACABAMENTO CROMADO SIMPLES - FORNECIMENTO E INSTALACAO</t>
  </si>
  <si>
    <t>VALVULA MICTORIO PRESSMATIC CROMADO 3/4"</t>
  </si>
  <si>
    <t>CONFORME PROJETO</t>
  </si>
  <si>
    <t xml:space="preserve">BUCHA DE REDUÇÃO SOLDÁVEL CURTA PVC CLASSE 15  Ø 50 X 40 MM  </t>
  </si>
  <si>
    <t xml:space="preserve">BUCHA DE REDUÇÃO SOLDÁVEL CURTA PVC CLASSE 15  Ø 110X 85MM  </t>
  </si>
  <si>
    <t xml:space="preserve">BUCHA DE REDUÇÃO SOLDÁVEL LONGA PVC CLASSE 15  Ø 40 X 25 MM  </t>
  </si>
  <si>
    <t xml:space="preserve">BUCHA DE REDUÇÃO SOLDÁVEL LONGA PVC CLASSE 15  Ø 50 X 32 MM  </t>
  </si>
  <si>
    <t xml:space="preserve">BUCHA DE REDUÇÃO SOLDÁVEL LONGA PVC CLASSE 15  Ø 60 X 50 MM  </t>
  </si>
  <si>
    <t xml:space="preserve">BUCHA DE REDUÇÃO SOLDÁVEL LONGA PVC CLASSE 15  Ø 85X 60MM  </t>
  </si>
  <si>
    <t xml:space="preserve">BUCHA DE REDUÇÃO SOLDÁVEL LONGA PVC CLASSE 15  Ø 110X 60MM  </t>
  </si>
  <si>
    <t>CAP PVC SOLD P/ AGUA FRIA PREDIAL 110 MM</t>
  </si>
  <si>
    <t xml:space="preserve">JOELHO 90 SOLDÁVEL PVC MARROM CLASSE 15  Ø 85 MM  </t>
  </si>
  <si>
    <t xml:space="preserve">JOELHO 90 SOLDÁVEL PVC MARROM CLASSE 15  Ø 110 MM  </t>
  </si>
  <si>
    <t>TUBO DE PVC RIGIDO MARROM CLASSE 15  Ø 85 MM</t>
  </si>
  <si>
    <t>TUBO DE PVC RIGIDO MARROM CLASSE 15  Ø 110 MM</t>
  </si>
  <si>
    <t>TUBO DE PVC RIGIDO MARROM CLASSE 15  Ø 40 MM</t>
  </si>
  <si>
    <t xml:space="preserve">TE 90 SOLDÁVEL PVC CLASSE 15  Ø 40 MM  </t>
  </si>
  <si>
    <t xml:space="preserve">TE 90 SOLDÁVEL PVC CLASSE 15  Ø 85 MM  </t>
  </si>
  <si>
    <t xml:space="preserve">TE 90 SOLDÁVEL PVC CLASSE 15  Ø 110 MM  </t>
  </si>
  <si>
    <t xml:space="preserve">TE DE REDUÇÃO 90 SOLDÁVEL PVC CLASSE 15  Ø 40 X 32 MM  </t>
  </si>
  <si>
    <t xml:space="preserve">TE DE REDUÇÃO 90 SOLDÁVEL PVC CLASSE 15  Ø 50 X 25 MM  </t>
  </si>
  <si>
    <t xml:space="preserve">TE DE REDUÇÃO 90 SOLDÁVEL PVC CLASSE 15  Ø 50 X 32 MM  </t>
  </si>
  <si>
    <t xml:space="preserve">TE DE REDUÇÃO 90 SOLDÁVEL PVC CLASSE 15  Ø 75 X 50 MM  </t>
  </si>
  <si>
    <t>CAIXA DE INSPECAO OU PASSAGEM 60X60CM TAMPA DE CONCRETO</t>
  </si>
  <si>
    <t>CAIXA SIFONADA EM PVC 150X185X75MM SIMPLES - FORNECIMENTO E INSTALAÇÃO</t>
  </si>
  <si>
    <t>RALO SIFONADO DE PVC 100X100MM SIMPLES - FORNECIMENTO E INSTALACAO</t>
  </si>
  <si>
    <t>CAIXA SIFONADA PVC 150X150X50MM COM GRELHA REDONDA BRANCA - FORNECIMENTO E INSTALAÇÃO</t>
  </si>
  <si>
    <t>CURVA PVC LONGA 90º ESGOTO 50MM - FORNECIMENTO E INSTALACAO</t>
  </si>
  <si>
    <t>CURVA PVC LONGA 90º ESGOTO 75MM - FORNECIMENTO E INSTALACAO</t>
  </si>
  <si>
    <t>JOELHO PVC 90º ESGOTO 75MM - FORNECIMENTO E INSTALACAO</t>
  </si>
  <si>
    <t>SABONETEIRA DE LOUCA BRANCA 7,5X15CM</t>
  </si>
  <si>
    <t>PORTA SABONETE LIQUIDO FORNECIMENTO</t>
  </si>
  <si>
    <t>67,25[C]*39,66[L] QUADRA</t>
  </si>
  <si>
    <t>REVESTIMENTO FORRO</t>
  </si>
  <si>
    <t>DEMARCACAO COM TINTA ACRILICA PARA PISOS DE FAIXAS EM QUADRA POLIESPOR</t>
  </si>
  <si>
    <t>I</t>
  </si>
  <si>
    <t>II</t>
  </si>
  <si>
    <t>FORRO PVC</t>
  </si>
  <si>
    <t>PINTURA ESMALTE 2 DEMAOS C/1 DEMAO ZARCAO P/ESQUADRIA FERRO</t>
  </si>
  <si>
    <t>[2561,63]AREA COBERTURA</t>
  </si>
  <si>
    <t>(20,60[PORTAS METALICAS]+115,94[GRADIL]+264,29[GUARDA-CORPO])*2[LADOS]+19,20*0,5[CORRIMAO]</t>
  </si>
  <si>
    <t>165,49[FUTSAL]+112,0[VOLEI]+173,28[BASQUETE]+169,88[HANDEBOL]</t>
  </si>
  <si>
    <t>PROTECAO DE FACHADA COM TELA DE POLIPROPILENO FIXADA EM ESTRUTURA DE MADEIRA COM ARAME GALV.</t>
  </si>
  <si>
    <t>76,60*2+55,0*2[FECHAMENTO DA OBRA]*1,00[ALTURA]</t>
  </si>
  <si>
    <t>FORRO PVC EM PLACAS COM LARGURA DE 10CM, ESPESSURA 8MM, COMP DE 6,0M, LISO, (INCLUSIVE COLOCACAO, ESTRUTURA DE SUPORTE)</t>
  </si>
  <si>
    <t>MEMORIAL DE FORRO</t>
  </si>
  <si>
    <t>SERVIÇOS PREELIMINARES</t>
  </si>
  <si>
    <t>6.3</t>
  </si>
  <si>
    <t>8.0</t>
  </si>
  <si>
    <t>10.0</t>
  </si>
  <si>
    <t>ACO CA 50-A - 6,3 MM  - (OBRAS CIVIS)</t>
  </si>
  <si>
    <t xml:space="preserve">     CRITÉRIO ADOTADO:</t>
  </si>
  <si>
    <t xml:space="preserve">     Obs.: Quant. de aço deverá ser</t>
  </si>
  <si>
    <t xml:space="preserve">ASSUNTO:  </t>
  </si>
  <si>
    <t xml:space="preserve">     obtida dos resumos das plantas</t>
  </si>
  <si>
    <t xml:space="preserve">No. FOLHA: </t>
  </si>
  <si>
    <t xml:space="preserve">CONCRETO FCK:  </t>
  </si>
  <si>
    <t>VIGAS</t>
  </si>
  <si>
    <t>QUANT.</t>
  </si>
  <si>
    <t>L1</t>
  </si>
  <si>
    <t>L2</t>
  </si>
  <si>
    <t>L3</t>
  </si>
  <si>
    <t>VOL.</t>
  </si>
  <si>
    <t>AÇO CA-50</t>
  </si>
  <si>
    <t>AÇO CA-60</t>
  </si>
  <si>
    <t>(COMP)</t>
  </si>
  <si>
    <t>(ALT.)</t>
  </si>
  <si>
    <t>(LARG.)</t>
  </si>
  <si>
    <t>CONC.</t>
  </si>
  <si>
    <t>FORMA</t>
  </si>
  <si>
    <t>(m)</t>
  </si>
  <si>
    <t>(m3)</t>
  </si>
  <si>
    <t>(m2)</t>
  </si>
  <si>
    <t>SUB-TOTAL</t>
  </si>
  <si>
    <t>VB1</t>
  </si>
  <si>
    <t>VB2</t>
  </si>
  <si>
    <t>VB3</t>
  </si>
  <si>
    <t>VB4</t>
  </si>
  <si>
    <t>VB5</t>
  </si>
  <si>
    <t>VB6</t>
  </si>
  <si>
    <t>VB7</t>
  </si>
  <si>
    <t>VB8</t>
  </si>
  <si>
    <t>VB9</t>
  </si>
  <si>
    <t>VB10</t>
  </si>
  <si>
    <t>VB11</t>
  </si>
  <si>
    <t>VB12</t>
  </si>
  <si>
    <t>VB13</t>
  </si>
  <si>
    <t>VB14</t>
  </si>
  <si>
    <t>VB15</t>
  </si>
  <si>
    <t>VB16</t>
  </si>
  <si>
    <t>12.5</t>
  </si>
  <si>
    <t>VB17</t>
  </si>
  <si>
    <t>VB18</t>
  </si>
  <si>
    <t>VB19</t>
  </si>
  <si>
    <t>VB20</t>
  </si>
  <si>
    <t>VB21</t>
  </si>
  <si>
    <t>VB22</t>
  </si>
  <si>
    <t>VB23</t>
  </si>
  <si>
    <t>VB24</t>
  </si>
  <si>
    <t>VB25</t>
  </si>
  <si>
    <t>VB26</t>
  </si>
  <si>
    <t>VB27</t>
  </si>
  <si>
    <t>VB28</t>
  </si>
  <si>
    <t>VB29</t>
  </si>
  <si>
    <t>VB30</t>
  </si>
  <si>
    <t>VB31</t>
  </si>
  <si>
    <t>VB32</t>
  </si>
  <si>
    <t>VB33</t>
  </si>
  <si>
    <t>VB34</t>
  </si>
  <si>
    <t>VBA1</t>
  </si>
  <si>
    <t>VBA2</t>
  </si>
  <si>
    <t>VBA3</t>
  </si>
  <si>
    <t>VBA4</t>
  </si>
  <si>
    <t>VBA8</t>
  </si>
  <si>
    <t xml:space="preserve">ASSUNTO: </t>
  </si>
  <si>
    <t xml:space="preserve">CONCRETO FCK: </t>
  </si>
  <si>
    <t>(COMP.)</t>
  </si>
  <si>
    <t>AÇO CA-51</t>
  </si>
  <si>
    <t xml:space="preserve">     CRITÉRIO ADOTADO: </t>
  </si>
  <si>
    <t>E1</t>
  </si>
  <si>
    <t>LOCAL</t>
  </si>
  <si>
    <t>1.0</t>
  </si>
  <si>
    <t>ACO CA 50-A - 20,0 MM - (OBRAS CIVIS)</t>
  </si>
  <si>
    <t>ACO CA 50-A - 16,0 MM - (OBRAS CIVIS)</t>
  </si>
  <si>
    <t>ACO CA-60 - 4,2 MM - (OBRAS CIVIS)</t>
  </si>
  <si>
    <t>7.0</t>
  </si>
  <si>
    <t>7.2</t>
  </si>
  <si>
    <t>FORMA MADEIRA COMP RESINADA 12MM P/ESTRUTURA REAPROV 3 VEZES</t>
  </si>
  <si>
    <t>PINTURA C/FUNDO SELADOR ACRILICO 1 DEMAO</t>
  </si>
  <si>
    <t>LUVA DE ACO GALVANIZADO 2.1/2" - FORNECIMENTO E INSTALACAO</t>
  </si>
  <si>
    <t>EXTINTOR INCENDIO AGUA-PRESSURIZADA 10L INCL SUPORTE PAREDE CARGA</t>
  </si>
  <si>
    <t>LUMINARIA EMERGENCIA 4000 LUMEN</t>
  </si>
  <si>
    <t>LUMINARIA EMERGENCIA 600 LUMEN</t>
  </si>
  <si>
    <t>ACIONADOR manual de alarme de incêndio</t>
  </si>
  <si>
    <t>CENTRAL de alarme de incêndio para 24 pontos</t>
  </si>
  <si>
    <t>SIRENE eletromecânica, alcance 2000 m.</t>
  </si>
  <si>
    <t>ADAPTADOR SOLD. CURTO COM BOLSA/ROSCA 75 MMX2 1/2"</t>
  </si>
  <si>
    <t>VBA21</t>
  </si>
  <si>
    <t>VBA22</t>
  </si>
  <si>
    <t>VBA23</t>
  </si>
  <si>
    <t>VBA24</t>
  </si>
  <si>
    <t>VBA5/VBA25</t>
  </si>
  <si>
    <t>VBA6/VBA26</t>
  </si>
  <si>
    <t>VBA7/27</t>
  </si>
  <si>
    <t>VBA9/28</t>
  </si>
  <si>
    <t>VBA10/29</t>
  </si>
  <si>
    <t>VBA11/30</t>
  </si>
  <si>
    <t>VBA15/34</t>
  </si>
  <si>
    <t>VBA16/35</t>
  </si>
  <si>
    <t>VBA12/31</t>
  </si>
  <si>
    <t>VBA13/32</t>
  </si>
  <si>
    <t>VBA17/36</t>
  </si>
  <si>
    <t>VBA18/37</t>
  </si>
  <si>
    <t>VBA14/33</t>
  </si>
  <si>
    <t>VBA19/38</t>
  </si>
  <si>
    <t>VBA20/39</t>
  </si>
  <si>
    <t>AÇO CA-52</t>
  </si>
  <si>
    <t>INST. ELET./TELEFONICA/CABEAMENTO ESTRUTURADO</t>
  </si>
  <si>
    <t>INSTALAÇÃO ELETRICA</t>
  </si>
  <si>
    <t>CABEAMENTO ESTRUTURADO</t>
  </si>
  <si>
    <t>73860_8</t>
  </si>
  <si>
    <t>73860_9</t>
  </si>
  <si>
    <t>74130_5</t>
  </si>
  <si>
    <t>74130_7</t>
  </si>
  <si>
    <t>73953_6</t>
  </si>
  <si>
    <t>73768_5</t>
  </si>
  <si>
    <t>ARAME DE AÇO GALVANIZADO N.º14 BWG</t>
  </si>
  <si>
    <t>BUCHA E ARRUELA DE ALUMÍNIO Ø19MM( Ø3/4")</t>
  </si>
  <si>
    <t>CABO DE COBRE FLEXÍVEL 2,5MM²  ISOLAÇÃO COMPOSTO TERMOPLÁSTICO 750V. NA COR AMARELO.</t>
  </si>
  <si>
    <t>CABO DE COBRE FLEXÍVEL 2,5MM²  ISOLAÇÃO COMPOSTO TERMOPLÁSTICO 750V. NA COR AZUL CLARO.</t>
  </si>
  <si>
    <t>CABO DE COBRE FLEXÍVEL 2,5MM²  ISOLAÇÃO COMPOSTO TERMOPLÁSTICO 750V. NA COR VERDE.</t>
  </si>
  <si>
    <t>CABO DE COBRE FLEXÍVEL 2,5MM²  ISOLAÇÃO COMPOSTO TERMOPLÁSTICO 750V. NA COR VERMELHA.</t>
  </si>
  <si>
    <t>CABO DE COBRE FLEXÍVEL 4,0MM²  ISOLAÇÃO COMPOSTO TERMOPLÁSTICO 750V. NA COR PRETO.</t>
  </si>
  <si>
    <t>CABO DE COBRE FLEXÍVEL 4,0MM²  ISOLAÇÃO COMPOSTO TERMOPLÁSTICO 750V. NA COR VERDE.</t>
  </si>
  <si>
    <t>CABO DE COBRE FLEXÍVEL 6,0MM²  ISOLAÇÃO COMPOSTO TERMOPLÁSTICO 750V. NA COR PRETO.</t>
  </si>
  <si>
    <t>CABO DE COBRE FLEXÍVEL 6,0MM²  ISOLAÇÃO COMPOSTO TERMOPLÁSTICO 750V. NA COR VERDE.</t>
  </si>
  <si>
    <t>CAIXA DE PASSAGEM METÁLICA ESMALTADA DE EMBUTIR, 4" X 2"</t>
  </si>
  <si>
    <t>CAIXA DE PASSAGEM METÁLICA ESMALTADA DE EMBUTIR, 4" X 4"</t>
  </si>
  <si>
    <t>CAIXA DE PASSAGEM OCTGONAL METÁLICA ESMALTADA DE EMBUTIR, 3" X 3"</t>
  </si>
  <si>
    <t>CURVA 90º PVC RÍGIDO, 3/4", COM LUVAS, TIGRE OU EQUIVALENTE</t>
  </si>
  <si>
    <t>DISJUNTOR NORMA DIN TIPO DDR(30MA) F-N, BIPOLAR 16. A REF. SIEMENS, PRIMELETRICA OU LOUSANO</t>
  </si>
  <si>
    <t>DISJUNTOR NORMA DIN TIPO DDR(30MA) F-F, BIPOLAR 10. A REF. SIEMENS, PRIMELETRICA OU LOUSANO</t>
  </si>
  <si>
    <t>DISJUNTOR NORMA DIN TIPO DDR(30MA) F-F, BIPOLAR 16. A REF. SIEMENS, PRIMELETRICA OU LOUSANO</t>
  </si>
  <si>
    <t>DISJUNTOR NORMA DIN TIPO DDR(30MA) F-F, BIPOLAR 25. A REF. SIEMENS, PRIMELETRICA OU LOUSANO</t>
  </si>
  <si>
    <t>DISJUNTOR BIPOLAR 10 A REF. SIEMENS, PRIMELETRICA OU LOUSANO</t>
  </si>
  <si>
    <t>DISJUNTOR BIPOLAR 16 A REF. SIEMENS, PRIMELETRICA OU LOUSANO</t>
  </si>
  <si>
    <t>DISJUNTOR BIPOLAR 40 A REF. SIEMENS, PRIMELETRICA OU LOUSANO</t>
  </si>
  <si>
    <t>DISJUNTOR TRIPOLAR 250 A REF. SIEMENS, PRIMELETRICA OU LOUSANO</t>
  </si>
  <si>
    <t>ELETROCALHA DE AÇO GALVANIZADO, PERFURADA, COM TAMPA DE ENCAIXE, COM ACESSORIOS</t>
  </si>
  <si>
    <t>ELETRODUTO PVC RÍGIDO, BARRA DE 03 METROS, Ø19MM( Ø3/4"), COM LUVAS, TIGRE OU EQUIVALENTE</t>
  </si>
  <si>
    <t>ELETRODUTO PVC FLEXÍVEL, Ø25MM(Ø1"), COM LUVAS, TIGRE OU EQUIVALENTE</t>
  </si>
  <si>
    <t>HASTE DE ATERRAMENTO  Ø5/8" X 3M LISA COM 254 MICRAS DE COBERTURA DE COBRE</t>
  </si>
  <si>
    <t>INTERRUPTOR PARA ILUMINAÇÃO, 01 SEÇÃO, SIMPLES, PIAL LEGRAND, IRIEL OU EQUIVALENTE</t>
  </si>
  <si>
    <t>INTERRUPTOR PARA ILUMINAÇÃO, 02 SEÇÃO, SIMPLES, PIAL LEGRAND, IRIEL OU EQUIVALENTE</t>
  </si>
  <si>
    <t>LUMINÁRIA DE SOBREPOR COM 02 LÂMPADAS FLUORESCENTES TUBULARES DE 28 W. CORPO E ALETAS EM CHAPA DE AÇO TRATADA E PINTURA  ELETROSTÁTICA NA COR BRANCA. REFLETORES EM ALUMÍNMIO ANODIZADOALTO BRILHO. REATOR ELETRÔNICO DE AUTO FATOR DE POTÊNCIA 2X28W.</t>
  </si>
  <si>
    <t>LUMINÁRIA CILÍNDRICA DE EMBUTIR COM ANEL DE ARREMATE EM ALUMÍNIO ANODIZADO E PINTADO POR PROCESSO ELETROSTÁTICO COM REFLETOR EM ALUMÍNIO ANODIZADO ALTO BRILHO COM CONTROLE ANTIOFUSCAMENTO COM LÂMPADAS FLUORESCENTES COMPACTA DE 18W.</t>
  </si>
  <si>
    <t>PROJETOR COM 01 LÂMPADA VAPOR DE SÓDIO 150W. ALOJAMENTO PARA EQUIPAMENTO AUXILIAR EM CHAPA DE AÇO TRATADA COM ACABAMENTO EM PINTURA ELETROSTÁTICA EPÓXI-PÓ NA COR BRANCA. REFLETOR EM ALUMÍNIO ANODIZADO PARA FACHO ABERTO. EQUIPADA COM PORTA-LÂMPADA EM CERÂMICA.</t>
  </si>
  <si>
    <t>PROJETOR PARA 01 LÂMPADA VAPOR METÁLICO DE 400W. ALOJAMENTO PARA EQUIPAMENTO AUXILIAR EM CHAPA DE AÇO TRATADA COM ACABAMENTO EM PINTURA ELETROSTÁTICA EPÓXI-PÓ NA COR BRANCA. REFLETOR EM ALUMÍNIO ANODIZADO PARA FACHO ABERTO. EQUIPADA COM PORTA-LÂMPADA EM CERÂMICA, IGNITOR E REATOR.</t>
  </si>
  <si>
    <t>PROTETOR DE SURTO 20KA – 275V – SIEMENS OU EQUIVALENTE</t>
  </si>
  <si>
    <t>QUADRO DE DISTRIBUIÇÃO METÁLICO DE EMBUTIR, COM BARRAMENTO TRIFÁSICO E ESPAÇO PARA DISJUNTOR GERAL ATÉ 150A E SUPRESSOR DE SURTO, PLACA DE PROTEÇÃO METÁLICA E BANDEJA DE MONTAGEM, PARA 36 ELEMENTOS, PROFUNDIDADE MÍNIMA DE 12CM, NORMA DIN.  REF. CEMAR, SIEMENS.</t>
  </si>
  <si>
    <t>QUADRO DE DISTRIBUIÇÃO METÁLICO DE EMBUTIR, COM BARRAMENTO TRIFÁSICO E ESPAÇO PARA DISJUNTOR GERAL ATÉ 250A E SUPRESSOR DE SURTO, PLACA DE PROTEÇÃO METÁLICA E BANDEJA DE MONTAGEM, PARA 50 ELEMENTOS, PROFUNDIDADE MÍNIMA DE 12CM, NORMA DIN.  REF. CEMAR, SIEMENS.</t>
  </si>
  <si>
    <t>TOMADA ELÉTRICA INTERNA 2P+T (10A-220V), PIAL LEGRAND, IRIEL OU EQUIVALENTE</t>
  </si>
  <si>
    <t xml:space="preserve">BLOCO TELEFÔNICO TIPO BER, 10 PARES C/ CANALETA </t>
  </si>
  <si>
    <t>CABO TELEFÔNICO CI 50 30 PARES</t>
  </si>
  <si>
    <t>CABO TELEFÔNICO CTP APL 50 30 PARES</t>
  </si>
  <si>
    <t>CABO UTP-4 PARES, 24 AWG CATEGORIA 5E, QUATRO PARES FLEXÍVEL</t>
  </si>
  <si>
    <t>CERTIFICAÇÃO</t>
  </si>
  <si>
    <t>CONECTOR RJ-45 MACHO, CATEGORIA 5E</t>
  </si>
  <si>
    <t>PATCH CORD UTP 4 PARES, CATEGORIA 5E, FLEXÍVEL,  1,5 METROS, COR AZUL</t>
  </si>
  <si>
    <t>PATCH CORD UTP 4 PARES, CATEGORIA 5E, FLEXÍVEL,  1,5 METROS, COR AMARELA</t>
  </si>
  <si>
    <t>PATCH-PANEL PADRÃO 19", CATEGORIA 5E, COM 24 PORTAS RJ-45</t>
  </si>
  <si>
    <t>SWITCH EMPILHÁVEL COM 24 PORTAS 10/100 BASE-TX, COM SLOT, E ACESSÓRIOS PARA EMPILHAMENTO, 3COM  OU EQUIVALENTE</t>
  </si>
  <si>
    <t>TOMADA LÓGICA DUPLA RJ-45, CONECTOR FÊMEA CAT. 5E  T568A/B, COM ESPELHO E DEMAIS ACESSÓRIOS,  REFERENCIA FURUKAWA OU EQUIVALENTE</t>
  </si>
  <si>
    <t>73860_10</t>
  </si>
  <si>
    <t>74131_7</t>
  </si>
  <si>
    <t>76449_1</t>
  </si>
  <si>
    <t>74131_8</t>
  </si>
  <si>
    <t>ELETRODUTO PVC FLEXÍVEL, Ø19MM(Ø3/4"), TIGRE OU EQUIVALENTE</t>
  </si>
  <si>
    <t>ELETRODUTO PVC FLEXÍVEL, Ø25MM(Ø1"), TIGRE OU EQUIVALENTE</t>
  </si>
  <si>
    <t>VIGIA</t>
  </si>
  <si>
    <t>CÓDIGO SINAPI</t>
  </si>
  <si>
    <t>ITEM</t>
  </si>
  <si>
    <t>DESCRIÇÃO</t>
  </si>
  <si>
    <t>UND</t>
  </si>
  <si>
    <t>ALVENARIA</t>
  </si>
  <si>
    <t>PORCELANATO POLIDO 30 X 30 CM, ASSENTADO COM ARGAMASSA PRÉ-FABRICADA DE CIMENTO COLANTE</t>
  </si>
  <si>
    <t xml:space="preserve">FORNECIMENTO, MONTAGEM DE RACK TIPO PEDESTAL, PADRÃO 19", CONFORME ESPECIFICAÇÕES QUE SE SEGUEM: POSSUIR ESTRUTURA EM AÇO MARTELADO, POSSUIR VENTILAÇÃO FORÇADA, PORTA FRONTAL EM ACRÍLICO TRANSPARENTE, POSSUIR SISTEMA DE CHAVE E FECHADURA, POSSUIR COLUNAS DE SEGUNDO PLANO (APROXIMADAMENTE 10CM), POSSUIR LATERAIS E TRASEIRAS REMOVÍVEIS, POSSUIR CONJUNTO DE PORCAS E PARAFUSOS PARA FIXAÇÃO, POSSUIR 1 (UMA) RÉGUA COM 12 (DOZE) TOMADAS  UNIVERSAIS - PINOS CHATOS E REDONDOS (2P + T , 16A/250 V), SENDO UTILIZADA A POLARIZAÇÃO NEMA 5/15. ALTURA DE 12U'S </t>
  </si>
  <si>
    <t>73918_2</t>
  </si>
  <si>
    <t>CAIXA DE PASSAGEM PARA TELEFONE 80X80X15CM, FORNECIMENTO E INSTALACAO</t>
  </si>
  <si>
    <t>CONCRETO ESTRUTURAL FCK=20MPA, VIRADO EM BETONEIRA, NA OBRA, SEM LANÇAMENTO</t>
  </si>
  <si>
    <t>CONCRETO ESTRUTURAL FCK=25MPA, VIRADO EM BETONEIRA, NA OBRA, SEM LANÇAMENTO</t>
  </si>
  <si>
    <t>ESCAVAÇÃO MANUAL DE VALAS</t>
  </si>
  <si>
    <t>ESCAVAÇÃO</t>
  </si>
  <si>
    <t>VOLUME</t>
  </si>
  <si>
    <t>MEMORIAL CALCULO DE ESCAVAÇÃO</t>
  </si>
  <si>
    <t>PREÇO UNITARIO</t>
  </si>
  <si>
    <t>521,46[PERIMETRO FORMA]*(0,30*2[LAT. VIGA]+0,15[FACE VIGA]</t>
  </si>
  <si>
    <t>PREÇO TOTAL</t>
  </si>
  <si>
    <t>CODIGO</t>
  </si>
  <si>
    <t>CARPINTEIRO DE FORMA</t>
  </si>
  <si>
    <t>AJUDANTE</t>
  </si>
  <si>
    <t>AJUDANTE DE CARPINTEIRO</t>
  </si>
  <si>
    <t>CARPINTEIRO DE ESQUADRIA</t>
  </si>
  <si>
    <t>AJUDANTE ESPECIALIZADO</t>
  </si>
  <si>
    <t>ELETRICISTA OU OFICIAL ELETRICISTA</t>
  </si>
  <si>
    <t>AJUDANTE DE ELETRICISTA</t>
  </si>
  <si>
    <t>AZULEJISTA OU LADRILHISTA</t>
  </si>
  <si>
    <t>AJUDANTE DE ENCANADOR</t>
  </si>
  <si>
    <t>ENCANADOR OU BOMBEIRO HIDRAULICO</t>
  </si>
  <si>
    <t>IMPERMEABILIZADOR</t>
  </si>
  <si>
    <t>OPERADOR DE MAQUINAS E EQUIPAMENTOS</t>
  </si>
  <si>
    <t>SUPERESTRUTURA(PILARES, VIGAS, LAJES E ARQUIBANCADA)</t>
  </si>
  <si>
    <t>73972_2</t>
  </si>
  <si>
    <t>LANCAMENTO MANUAL DE CONCRETO EM ESTRUTURAS, INCL. VIBRACAO</t>
  </si>
  <si>
    <t>ALVENARIA EM TIJOLO FURADO ESP.1/2 VEZ</t>
  </si>
  <si>
    <t>FORNECIMENTO E MONTAGEM DE CENTRAL TELEFÔNICA DIGITAL PADRÃO TELEBRÁS  20 TRONCOS E100 RAMAIS C/ TAMPA</t>
  </si>
  <si>
    <t>COMPOSIÇÃO DE CUSTO UNITARIO</t>
  </si>
  <si>
    <t>Nº</t>
  </si>
  <si>
    <t>COEF.</t>
  </si>
  <si>
    <t>PREÇO UNIT.</t>
  </si>
  <si>
    <t>PLACA DE OBRA EM CHAPA DE ACO GALVANIZADO</t>
  </si>
  <si>
    <t>PECA DE MADEIRA LEI 1A QUALIDADE 2,5 X 7,5CM (1 X 3") NAO APARELHADA</t>
  </si>
  <si>
    <t>PECA DE MADEIRA 3A/4A QUALIDADE 7,5 X 7,5CM (3X3) NAO APARELHADA</t>
  </si>
  <si>
    <t>PLACA DE OBRA (IDENTIFICACAO) PARA CONSTRUCAO CIVIL EM CHAPA GALVANIZA</t>
  </si>
  <si>
    <t>PREGO DE ACO 18 X 30</t>
  </si>
  <si>
    <t>CONCRETO NAO ESTRUTURAL, CONSUMO MINIMO 150 KG/M3 (1:4:5)</t>
  </si>
  <si>
    <t>SERVENTE OU OPERARIO NAO QUALIFICADO</t>
  </si>
  <si>
    <t>PREÇO (MATERIAL)</t>
  </si>
  <si>
    <t>PREÇO (MAO-DE-OBRA)</t>
  </si>
  <si>
    <t>BDI (%)</t>
  </si>
  <si>
    <t>24,96%</t>
  </si>
  <si>
    <t>PREÇO TOTAL UNIT. (c/ taxa):</t>
  </si>
  <si>
    <t>CUSTO HORARIO PRODUTIVO DIURNO C/ TRATOR DE ESTEIRA</t>
  </si>
  <si>
    <t>CHP</t>
  </si>
  <si>
    <t>BARRACAO DE OBRA EM CHAPA DE MADEIRA COMPENSADA COM BANHEIRO, COBERTURA EM FIBROCIMENTO 4 MM, INCLUSO INSTALACOES HIDRO-SANITARIAS E ELETRICAS</t>
  </si>
  <si>
    <t>AREIA GROSSA</t>
  </si>
  <si>
    <t>FIO RIGIDO, ISOLACAO EM PVC 450/750V 1,5MM2</t>
  </si>
  <si>
    <t>CAIXA DESCARGA PLASTICA, EXTERNA, COMPLETA COM TUBO DE DESCARGA, ENGAT</t>
  </si>
  <si>
    <t>TUBO DE DESCIDA (DESCARGA) EXTERNO PVC P/ CX DESCARGA EXTERNA - 40MM X 1,60M</t>
  </si>
  <si>
    <t>CHAPA MADEIRA COMPENSADA RESINADA 2,2 X 1,1M (12MM) P/ FORMA CONCRETO</t>
  </si>
  <si>
    <t>CIMENTO PORTLAND CP-320</t>
  </si>
  <si>
    <t>CURVA PVC 90G CURTA PVC P/ ESG PREDIAL DN 100MM</t>
  </si>
  <si>
    <t>DOBRADICA ACO ZINCADO 3 X 3" SEM ANEIS</t>
  </si>
  <si>
    <t>FECHADURA EMBUTIR EXTERNA (C/ CILINDRO) COMPLETA - LINHA POPULAR</t>
  </si>
  <si>
    <t>CJ</t>
  </si>
  <si>
    <t>LAMPADA INCANDESCENTE 60W</t>
  </si>
  <si>
    <t>PECA DE MADEIRA DE LEI 1A QUALIDADE 6 X 12CM NAO APARELHADA</t>
  </si>
  <si>
    <t>PECA DE MADEIRA DE LEI 1A QUALIDADE 5 X 6CM NAO APARELHADA</t>
  </si>
  <si>
    <t>PECA DE MADEIRA 3A QUALIDADE 2,5 X 10CM NAO APARELHADA</t>
  </si>
  <si>
    <t>PEDRA BRITADA N. 1 OU 19 MM</t>
  </si>
  <si>
    <t>PREGO DE ACO 17 X 27</t>
  </si>
  <si>
    <t>PORTA CADEADO ZINCADO OXIDADO PRETO</t>
  </si>
  <si>
    <t>BOLSA DE LIGACAO EM PVC FLEXIVEL P/ VASO SANITARIO 1.1/2" (40MM)</t>
  </si>
  <si>
    <t>ENGATE OU RABICHO FLEXIVEL PLASTICO (PVC OU ABS) BRANCO 1/2" X 30CM</t>
  </si>
  <si>
    <t>SIFAO PLASTICO P/ LAVATORIO/PIA TIPO COPO 1 1/4"</t>
  </si>
  <si>
    <t>VALVULA EM PLASTICO BRANCO 1" SEM UNHO C/ LADRAO P/ LAVATORIO</t>
  </si>
  <si>
    <t>TELHA FIBROCIMENTO ONDULADA VOGATEX 4MM 2,44 X 0,50M</t>
  </si>
  <si>
    <t>CHUVEIRO PLASTICO BRANCO SIMPLES</t>
  </si>
  <si>
    <t>TUBO PVC P/ ESG PREDIAL DN 100MM</t>
  </si>
  <si>
    <t>TUBO PVC SOLDAVEL EB-892 P/AGUA FRIA PREDIAL DN 25MM</t>
  </si>
  <si>
    <t>VASO SANITARIO SIFONADO LOUCA BRANCA - PADRAO POPULAR</t>
  </si>
  <si>
    <t>LAVATORIO LOUCA BRANCA SUSPENSO 29,5 X 39,0CM OU EQUIV-PADRAO POPULAR</t>
  </si>
  <si>
    <t>REGISTRO PRESSAO 3/4" BRUTO REF 1400</t>
  </si>
  <si>
    <t>CAIXA D'AGUA FIBROCIMENTO REDONDA C/ TAMPA 500L</t>
  </si>
  <si>
    <t>INTERRUPTOR SOBREPOR 1 TECLA SIMPLES, TIPO SILENTOQUE PIAL OU EQUIV</t>
  </si>
  <si>
    <t>BOCAL/SOQUETE/RECEPTACULO DE PORCELANA</t>
  </si>
  <si>
    <t>TORNEIRA CROMADA 1/2" OU 3/4" REF 1193 P/ LAVATORIO - PADRAO POPULAR</t>
  </si>
  <si>
    <t>PEDREIRO</t>
  </si>
  <si>
    <t>LIGAÇÃO PROVISORIA DE AGUA</t>
  </si>
  <si>
    <t>HIDROMETRO 1,5 M3/H</t>
  </si>
  <si>
    <t>INSTAL/LIGACAO PROVISORIA ELETRICA BAIXA TENSAO P/CANT OBRAOBRA,M3-CHAVE 100A CARGA 3KWH,20CV EXCL FORN MEDIDOR</t>
  </si>
  <si>
    <t>ABRACADEIRA TIPO D 1/2" C/ PARAFUSO</t>
  </si>
  <si>
    <t>ISOLADOR TIPO CARRETILHA - MARROM 72 X 72 MM</t>
  </si>
  <si>
    <t>FUSIVEL ROSCA 15A - 250V FIXO</t>
  </si>
  <si>
    <t>FUSIVEL FACA 100A - 250V FIXO</t>
  </si>
  <si>
    <t>ELETRODUTO METALICO FLEXIVEL TIPO CONDUITE D = 1 1/2"</t>
  </si>
  <si>
    <t>ELETRODUTO PVC ROSCA S/LUVA 15MM - 1/2"</t>
  </si>
  <si>
    <t>ISOLADOR DE PINO DE PORCELANA VIDRADA 15 KV</t>
  </si>
  <si>
    <t>CURVA PVC 90G P/ ELETRODUTO ROSCAVEL 1 1/2"</t>
  </si>
  <si>
    <t>CABO DE COBRE ISOLAMENTO ANTI-CHAMA 450/750V 16MM2, TP PIRASTIC PIRELL</t>
  </si>
  <si>
    <t>PECA DE MADEIRA (MASSARANDUBA) 7,5 X 15CM (3 X 6") NAO APARELHADA</t>
  </si>
  <si>
    <t>TUBO ACO GALV C/ COSTURA DIN 2440/NBR 5580 CLASSE MEDIA DN 2.1/2" (65M</t>
  </si>
  <si>
    <t>CHAVE FACA TRIPOLAR C/BASE DE ARDOSIA/MARMORE 100A/250V</t>
  </si>
  <si>
    <t>ARAME GALVANIZADO 12 BWG - 2,60MM - 48,00 G/M</t>
  </si>
  <si>
    <t>TABUA MADEIRA 3A QUALIDADE 2,5 X 30,0CM (1 X 12") NAO APARELHADA</t>
  </si>
  <si>
    <t>TELA DE NYLON OU PLÁSTICA COM MALHA DE 5 MM, TIPO FACHADEIRA, PARA PROTEÇÃO DE OBRAS</t>
  </si>
  <si>
    <t>PECA DE MADEIRA ( PINHO) 1A QUALIDADE 3,75 X 22,5CM NAO APARELHADA</t>
  </si>
  <si>
    <t>LOCACAO CONVENCIONAL DE OBRA, ATRAVÉS DE GABARITO DE TABUAS CORRIDAS PONTALETADAS A CADA 1,50M, SEM REAPROVEITAMENTO</t>
  </si>
  <si>
    <t>ARAME RECOZIDO 18 BWG - 1,25MM - 9,60 G/M</t>
  </si>
  <si>
    <t>PREGO DE ACO 18 X 27</t>
  </si>
  <si>
    <t>TABUA MADEIRA 3A QUALIDADE 2,5 X 30CM (1 X 12") NAO APARELHADA</t>
  </si>
  <si>
    <t>PECA DE MADEIRA 2A QUALIDADE 7,5 X 7,5CM NAO APARELHADA</t>
  </si>
  <si>
    <t>CAMINHÃO BASCULANTE 8,0M3/16T DIESEL TIPO MERCEDES 170HP LK-1418 OU EQUIV (INCL MANUT/OPERACAO)</t>
  </si>
  <si>
    <t>FRETE POR BALSA</t>
  </si>
  <si>
    <t xml:space="preserve"> INFRA-ESTRUTURA</t>
  </si>
  <si>
    <t>CONCRETO FCK=15MPA CONT."C" S/LANCAMENTO, PREP.C/BETONEIRA (BRITA 1E2</t>
  </si>
  <si>
    <t>CIMENTO PORTLAND COMUM CP I- 32</t>
  </si>
  <si>
    <t>BETONEIRA 580L ELETRICA TRIFASICA 7,5HP C/ CARREGADOR MECANICO</t>
  </si>
  <si>
    <t>REATERRO APILOADO EM CAMADAS 0,20M C/ MATERIAL ARGILO-ARENOSO</t>
  </si>
  <si>
    <t>ARGILA, ARGILA VERMELHA OU ARGILA ARENOSA</t>
  </si>
  <si>
    <t>FORMA DE MADEIRA COMUM PARA FUNDACOES</t>
  </si>
  <si>
    <t>PECA DE MADEIRA 3A/4A QUALIDADE 2,5 X 5CM NAO APARELHADA</t>
  </si>
  <si>
    <t>DESMOLDANTE PARA FORMA DE MADEIRA</t>
  </si>
  <si>
    <t>L</t>
  </si>
  <si>
    <t>ARMACAO DE ACO CA-60 DIAM. 3,4 A 6,0MM.- FORNECIMENTO / CORTE (C/PERDA DE 10%) / DOBRA / COLOCAÇÃO</t>
  </si>
  <si>
    <t>ACO CA-60 - 5,0MM</t>
  </si>
  <si>
    <t>ARMADOR</t>
  </si>
  <si>
    <t>ARMACAO ACO CA-50 DIAM. 6,3MM(1/4) A 12,5MM(1/2)-FONECIMENTO/CORTE(PERDA 10%) DOBRA/COLOCACAO</t>
  </si>
  <si>
    <t>ACO CA-50 3/8" (9,52 MM)</t>
  </si>
  <si>
    <t>AREIA MEDIA</t>
  </si>
  <si>
    <t>VIBRADOR DE IMERSAO C/ MOTOR ELETRICO 2HP MONOFASICO QUALQUER DIAM C/ MANGOTE</t>
  </si>
  <si>
    <t xml:space="preserve"> SUPERESTRUTURA</t>
  </si>
  <si>
    <t>AGENTE DE DESFORMA P/ CONCRETO TP DESMOL OTTO BAUMGART OU EQUIV</t>
  </si>
  <si>
    <t>ARMACAO AÇO CA-50 DIAM. 16.00(5/8) A 25,00MM (1) - FORNECIMENTO / CORTE (PERDA DE 10%) DOBRA/COLOCACAO</t>
  </si>
  <si>
    <t>ACO CA-50 3/4" (19,05 MM)</t>
  </si>
  <si>
    <t>PEDRA BRITADA N. 2 OU 25 MM</t>
  </si>
  <si>
    <t>OPERADOR DE BETONEIRA ( CAMINHÃO)</t>
  </si>
  <si>
    <t>6.1</t>
  </si>
  <si>
    <t>73970_1</t>
  </si>
  <si>
    <t>ESTRUTURA METALICA PERFIS "I" 8 A 12" EM ACO LAMINADO(VIGA ISOLADA E</t>
  </si>
  <si>
    <t>PERFIL ACO ESTRUTURAL "I" - 12" X 5 1/4" (QUALQUER ESPESSURA)</t>
  </si>
  <si>
    <t>SOLDA TOPO DESCENDENTE CHANFRADA ESPESSURA=1/4" CHAPA/PERFIL/TUBO ACO</t>
  </si>
  <si>
    <t>SERRALHEIRO</t>
  </si>
  <si>
    <t xml:space="preserve"> PAREDES E PAINEIS</t>
  </si>
  <si>
    <t>TIJOLO CERAMICO FURADO 8 FUROS 10 X 20 X 20CM</t>
  </si>
  <si>
    <t>ARGAMASSA CIMENTO/AREIA 1:4 - PREPARO MANUAL</t>
  </si>
  <si>
    <t>ELEMENTO VAZADO CONCRETO 50 X 50 X 7CM</t>
  </si>
  <si>
    <t>DIVISORIA 35MM PAINEL CEGO MIOLO COLMEIA REVESTIDA C/CHAPA LAMINADA EM CORES FIBRA MADEIRA PRENSADA C/MONTANTES ALUMINIO ANODIZADO NATURAL EM "L" "T" OU "X" INCL PORTAS EXCL SUAS FERRAGENS.</t>
  </si>
  <si>
    <t>DIVISORIA CEGA (N1) - PAINEL MSO/COMEIA E=35MM - MONTANTE/RODAPE DUPLO ALUMINIO ANOD NAT COLOCADA</t>
  </si>
  <si>
    <t>CIMENTO BRANCO</t>
  </si>
  <si>
    <t xml:space="preserve"> ESQUADRIAS</t>
  </si>
  <si>
    <t>PORTAO CHAPA 14/GRADE DE FERRO PT-7 - 180308</t>
  </si>
  <si>
    <t>CHAPA GALV PLANA 14GSG 1,994MM 16,020KG/M2</t>
  </si>
  <si>
    <t>CANTONEIRA ACO ABAS IGUAIS (QUALQUER BITOLA) E = 1/8"</t>
  </si>
  <si>
    <t>CAL HIDRATADA, DE 1A. QUALIDADE, PARA ARGAMASSA</t>
  </si>
  <si>
    <t>ACO CA-25 3/8" (9,52 MM)</t>
  </si>
  <si>
    <t>FECHADURA DE EMBUTIR COMPLETA, PARA PORTAS EXTERNAS, PADRAO DE ACABAME</t>
  </si>
  <si>
    <t>FECHADURA EMBUTIR EXTERNA (C/ CILINDRO) COMPLETA - ACAB PADRAO MEDIO</t>
  </si>
  <si>
    <t>DOBRADICA FERRO CROMADO 3 X 3"</t>
  </si>
  <si>
    <t>DOBRADICA FERRO CROMADO 3 X 3" SEM ANEIS</t>
  </si>
  <si>
    <t>JANELA DE ALUMINIO TIPO MAXIM-AIR, SERIE 25</t>
  </si>
  <si>
    <t>JANELA ALUMINIO SERIE 25 TP MAXIM AIR 90 X 110CM</t>
  </si>
  <si>
    <t xml:space="preserve"> VIDROS</t>
  </si>
  <si>
    <t>VIDRO LISO COMUM TRANSPARENTE, ESPESSURA 4MM</t>
  </si>
  <si>
    <t>VIDRO LISO INCOLOR 4MM - SEM COLOCACAO</t>
  </si>
  <si>
    <t>MASSA PARA VIDRO</t>
  </si>
  <si>
    <t>VIDRACEIRO</t>
  </si>
  <si>
    <t>ESPELHO CRISTAL ESPESSURA 4MM, COM MOLDURA EM ALUMINIO E COMPENSADO 6MM PLASTIFICADO COLADO</t>
  </si>
  <si>
    <t>ADITIVO À BASE DE EMULSÃO DE POLÍMERO SINTÉTICO PARA ARGAMASSA E CHAPISCO SIKAFIX SUPER OU EQUIVALENTE</t>
  </si>
  <si>
    <t>CANTONEIRA ALUMINIO ABAS DESIGUAIS 1 X 3/4" E = 1/8"</t>
  </si>
  <si>
    <t>CHAPA MADEIRA COMPENSADA PLASTIFICADA 2,2 X 1,1M X 6MM P/ FORMA CONCRE</t>
  </si>
  <si>
    <t>ESPELHO CRISTAL E = 4 MM</t>
  </si>
  <si>
    <t xml:space="preserve"> COBERTURA</t>
  </si>
  <si>
    <t>MASSA PRONTA P/ VEDACAO TP CARBOLASTICO CINZA DA OTTO BAUMGART</t>
  </si>
  <si>
    <t>PARAFUSO ROSCA SOBERBA ACO ZINC CABECA CHATA FENDA SIMPLES 8 X 100MM</t>
  </si>
  <si>
    <t>7243_1</t>
  </si>
  <si>
    <t>TELHA EM ACO ZIPADA 50MM - MODELO SANDUICHE COM TP-40</t>
  </si>
  <si>
    <t>TELHADISTA</t>
  </si>
  <si>
    <t>RUFO EM CHAPA DE ACO GALVANIZADO N.24, DESENVOLVIMENTO 25CM</t>
  </si>
  <si>
    <t>RUFO CHAPA GALVANIZADA NUM 24 L = 25CM</t>
  </si>
  <si>
    <t>CALHA EM CHAPA DE ACO GALVANIZADO N.24, DESENVOLVIMENTO 50CM</t>
  </si>
  <si>
    <t>REBITE DE ALUMINIO VAZADO DE REPUXO, 3,2 X 8MM - (1KG=1025UNID)</t>
  </si>
  <si>
    <t>SOLDA 50/50</t>
  </si>
  <si>
    <t>CALHA CHAPA GALVANIZADA NUM 24 L = 50CM</t>
  </si>
  <si>
    <t xml:space="preserve"> IMPERMEABILIZAÇÃO</t>
  </si>
  <si>
    <t>REGULARIZACAO BASE(CONTRA-PISO)P/REVESTIMENTO CERAMICO C/ARG CIMENTO/</t>
  </si>
  <si>
    <t>BETONEIRA 320L ELETRICA TRIFASICA 3HP S/ CARREGADOR MECANICO</t>
  </si>
  <si>
    <t>COLOCACAO MANTA IMPERMEABILIZANTE</t>
  </si>
  <si>
    <t>COLA CONTATO P/ CHAPA VINILICA/BORRACHA</t>
  </si>
  <si>
    <t>MANTA IMPERMEABILIZANTE A BASE DE ASFALTO MODIFICADO C/ POLIMEROS DE A</t>
  </si>
  <si>
    <t>PROTECAO MECANICA COM ARGAMASSA TRACO 1:3 (CIMENTO E AREIA), ESPESSURA 2 CM</t>
  </si>
  <si>
    <t>73929_4</t>
  </si>
  <si>
    <t>IMPERMEABILIZACAO COM CIMENTO CRISTALIZANTE COM EMULSAO ADESIVA PARA ESTRUTURA ENTERRADA, PROFUNDIDADE ATE 7M</t>
  </si>
  <si>
    <t>EMULSAO ADESIVA A BASE DE ACRILICO TP KZ HEYDI OU EQUIV</t>
  </si>
  <si>
    <t>CIMENTO CRISTALIZANTE TP K11 HEY'DI VIAPOL (SEM EMULSAO ADESIVA)</t>
  </si>
  <si>
    <t>FORRO PVC EM PLACAS LARG=10CM E=8MM COMP=6M LISO (INCL COLOCACAO)</t>
  </si>
  <si>
    <t>EMBOCO ASPERO C/ARG 1:2:11 CIMENTO/CAL HIDRATADA/AREIA MEDIA S/PENEIR</t>
  </si>
  <si>
    <t>ARGAMASSA OU CIMENTO COLANTE EM PO PARA FIXACAO DE PECAS CERAMICAS</t>
  </si>
  <si>
    <t xml:space="preserve"> PISOS</t>
  </si>
  <si>
    <t>73936_5</t>
  </si>
  <si>
    <t>CONCRETO 1:3:5 ( 7 MPA), C/ BRITA 1 E 2, C/BETONEIRA</t>
  </si>
  <si>
    <t>IMPERMEABILIZANTE P/ CONCRETO E ARGAMASSA TP VEDACIT OTTO BAUMGART OU</t>
  </si>
  <si>
    <t>ARGAMASSA PRONTA PARA REVESTIMENTO EXTERNO OU INTERNO</t>
  </si>
  <si>
    <t>PISO PORCELANATO POLIDO EXTRA 30X30CM OU 40X40CM</t>
  </si>
  <si>
    <t>AGREGADO DE ALTA RESISTENCIA P/ PISO INDUSTRIAL</t>
  </si>
  <si>
    <t>MAQUINA ELETRICA P/ POLIMENTO DE PISO</t>
  </si>
  <si>
    <t>JUNTA DILATACAO PLASTICA P/ PISO H=20MM E=3,0MM</t>
  </si>
  <si>
    <t>MARMORISTA/GRANITEIRO</t>
  </si>
  <si>
    <t>SELANTE ELÁSTICO MONOCOMPONENTE À BASE DE POLIURETANO SIKAFLEX 1A PLUS OU EQUIVALENTE</t>
  </si>
  <si>
    <t>310ML</t>
  </si>
  <si>
    <t>RODAPE C/ARGAMASSA 1:0,5:5 CIM/CAL/AREIA - 8CM</t>
  </si>
  <si>
    <t>JUNTA PLASTICA DE VEDACAO - BISNAGA 250G</t>
  </si>
  <si>
    <t>AJUDANTE INSTALADOR HIDRAULICO</t>
  </si>
  <si>
    <t>FUNDO ANTICORROSIVO TIPO ZARCAO OU EQUIV</t>
  </si>
  <si>
    <t>ESTOPA</t>
  </si>
  <si>
    <t>AUXILIAR DE ENCANADOR OU BOMBEIRO HIDRAULICO</t>
  </si>
  <si>
    <t>PAPELEIRA CROMADA - FORNECIMENTO E INSTALACAO</t>
  </si>
  <si>
    <t>PAPELEIRA CROMADA</t>
  </si>
  <si>
    <t>VALVULA EM METAL CROMADO TIPO AMERICANA 3.1/2" X 1.1/2" P/ PIA DE COZI</t>
  </si>
  <si>
    <t>SIFAO EM METAL CROMADO 1 X 1 1/4"</t>
  </si>
  <si>
    <t>LAVATORIO/CUBA DE EMBUTIR OVAL LOUCA COR 35 X 50CM OU EQUIV SEM LADRAO</t>
  </si>
  <si>
    <t>LAVATORIO LOUCA BRANCA D/SOBREPOR retangular MED LUXO C/LADRAO FERRAGEN</t>
  </si>
  <si>
    <t>ENGATE OU RABICHO FLEXIVEL EM METAL CROMADO 1/2" x 30CM</t>
  </si>
  <si>
    <t>LIGACAO FLEXIVEL P/LAVATORIO METALICO DIAM.1/2"</t>
  </si>
  <si>
    <t>FITA VEDA ROSCA EM ROLOS 18MMX25M</t>
  </si>
  <si>
    <t>SIFAO CROMADO 1" X 1 1/2"  P/LAVATORIO</t>
  </si>
  <si>
    <t>SIFAO EM METAL CROMADO 1 X 1 1/2"</t>
  </si>
  <si>
    <t>FITA VEDA ROSCA EM ROLOS 18MMX10M</t>
  </si>
  <si>
    <t>TORNEIRA CROMADA TUBO MOVEL PARA BANCADA 1/2" OU 3/4" PARA PIA DE COZINHA, PADRAO ALTO - FORNECIMENTO E INSTALACAO</t>
  </si>
  <si>
    <t>TORNEIRA CROMADA TUBO MOVEL P/ BANCADA 1/2" OU 3/4" REF 1167 P/ PIA COZ - PADRAO ALTO</t>
  </si>
  <si>
    <t>VALVULA PLASTICA CROMADA P/LAVATORIO</t>
  </si>
  <si>
    <t>VALVULA EM PLASTICO CROMADO 1" S/UNHO C/LADRAO P/LAVATORIO</t>
  </si>
  <si>
    <t>PORTA TOALHA EM METAL CROMADO, TIPO HASTE OU BARRA</t>
  </si>
  <si>
    <t>un</t>
  </si>
  <si>
    <t>SABONETEIRA EM VIDRO C/ SUPORTE EM ACO INOX P/ SABAO LIQUIDO</t>
  </si>
  <si>
    <t>INSTALACAO SABONETEIRA LOUCA BRANCA 6 X 3"</t>
  </si>
  <si>
    <t>SABONETEIRA LOUCA BRANCA 7,5 X 15CM</t>
  </si>
  <si>
    <t>BARRA P/DEFICIENTE FISICO B6 PADRAO AGETOP</t>
  </si>
  <si>
    <t>BUCHA NYLON S-10 C/ PARAFUSO ACO ZINC ROSCA SOBERBA CAB CHATA 5,5 X 65MM</t>
  </si>
  <si>
    <t>CHAPA ACO GROSSA PRETA 1/4"(6,35MM) 49,797KG/M2</t>
  </si>
  <si>
    <t>m</t>
  </si>
  <si>
    <t>BEBEDOURO ELÉTRICO (VOLUME: 40,00 L)</t>
  </si>
  <si>
    <t>MICTORIO SIFONADO DE LOUCA BRANCA COM PERTENCES, COM REGISTRO DE PRESSAO 1/2" COM CANOPLA CROMADA ACABAMENTO SIMPLES E CONJUNTO PARA FIXACAO - FORNECIMENTO E INSTALACAO</t>
  </si>
  <si>
    <t>MICTORIO SIFONADO LOUCA BRANCA C/PERTENCES</t>
  </si>
  <si>
    <t>REGISTRO PRESSAO 1/2" REF 1416 - C/ CANOPLA ACAB CROMADO SIMPLES</t>
  </si>
  <si>
    <t>PARAFUSO NIQUELADO P/ FIXAR PECA SANITARIA - INCL PORCA CEGA, ARRUELA E BUCHA DE NYLON S-8</t>
  </si>
  <si>
    <t>AJUDANTE DE ENCANADOR OU BOMBEIRO HIDRAULICO</t>
  </si>
  <si>
    <t>VALVULA DESCARGA P/MICTORIO DIAM. 3/4" - 1/2"</t>
  </si>
  <si>
    <t>VALVULA DESCARGA P/ MICTORIO</t>
  </si>
  <si>
    <t>FORN/ASSENT. REGISTRO GAVETA CANOPLA CROMADA 3/4"</t>
  </si>
  <si>
    <t>REGISTRO PRESSAO 3/4" REF 1416 - C/ CANOPLA ACAB CROMADO SIMPLES</t>
  </si>
  <si>
    <t>REGISTRO GAVETA 1.1/2" REF 1509-C - C/ CANOPLA ACAB CROMADO SIMPLES</t>
  </si>
  <si>
    <t>REGISTRO GAVETA 1" COM CANOPLA ACABAMENTO CROMADO SIMPLES - FORNECIMENTO E INSTALACAO</t>
  </si>
  <si>
    <t>REGISTRO GAVETA 1" REF 1509-C - C/ CANOPLA ACAB CROMADO SIMPLES</t>
  </si>
  <si>
    <t>FORN/ASSENT. REGISTRO GAVETA BRUTO 65 MM</t>
  </si>
  <si>
    <t>REGISTRO GAVETA 2.1/2" BRUTO LATAO REF 1502-B</t>
  </si>
  <si>
    <t>ADAPTADOR PVC SOLDAVEL CURTO C/ BOLSA E ROSCA P/ REGISTRO 25MM X 3/4"</t>
  </si>
  <si>
    <t>ADESIVO PVC FRASCO C/ 850G</t>
  </si>
  <si>
    <t>SOLUCAO LIMPADORA FRASCO PLASTICO C/ 1000CM3</t>
  </si>
  <si>
    <t>ADAPTADOR PVC SOLDAVEL CURTO C/ BOLSA E ROSCA P/ REGISTRO 32MM X 1"</t>
  </si>
  <si>
    <t>ADAPTADOR PVC SOLDAVEL CURTO C/ BOLSA E ROSCA P/ REGISTRO 50MM X 1 1/2"</t>
  </si>
  <si>
    <t>ADAPTADOR PVC SOLDAVEL CURTO C/ BOLSA E ROSCA P/ REGISTRO 50MM X 1</t>
  </si>
  <si>
    <t>ADAPTADOR SOLDAVEL CURTO C/BR P/REG.75X2.1/2"</t>
  </si>
  <si>
    <t>ADAPTADOR PVC SOLDAVEL CURTO C/ BOLSA E ROSCA P/ REGISTRO 75MM X 2 1/</t>
  </si>
  <si>
    <t>REDUCAO DE PVC SOLDAVEL AGUA FRIA 32X20MM - FORNECIMENTO E INSTALACAO</t>
  </si>
  <si>
    <t>BUCHA REDUCAO PVC SOLD LONGA P/ AGUA FRIA PRED 32MM X 20MM</t>
  </si>
  <si>
    <t>REDUCAO DE PVC SOLDAVEL AGUA FRIA 50X40MM - FORNECIMENTO E INSTALACAO</t>
  </si>
  <si>
    <t>BUCHA REDUCAO PVC SOLD CURTA P/ AGUA FRIA PRED 50MM X 40MM</t>
  </si>
  <si>
    <t>BUCHA REDUCAO DE PVC SOLDAVEL CURTA AGUA FRIA 60X50MM - FORNECIMENTO E INSTALACAO</t>
  </si>
  <si>
    <t>BUCHA REDUCAO PVC SOLD CURTA P/ AGUA FRIA PRED 60MM X 50MM</t>
  </si>
  <si>
    <t>BUCHA REDUCAO DE PVC SOLDAVEL CURTA AGUA FRIA 75X60MM - FORNECIMENTO E INSTALACAO</t>
  </si>
  <si>
    <t>BUCHA REDUCAO PVC SOLD CURTA P/ AGUA FRIA PRED 75MM X 60MM</t>
  </si>
  <si>
    <t>REDUCAO DE PVC SOLDAVEL CURTA AGUA FRIA 110X85MM - FORNECIMENTO E INSTALACAO</t>
  </si>
  <si>
    <t>BUCHA REDUCAO PVC SOLD CURTA P/ AGUA FRIA PRED - 110MM X 85MM</t>
  </si>
  <si>
    <t>REDUCAO DE PVC SOLDAVEL AGUA FRIA 40X25MM - FORNECIMENTO E INSTALACAO</t>
  </si>
  <si>
    <t>BUCHA REDUCAO PVC SOLD LONGA P/ AGUA FRIA PRED 40MM X 25MM</t>
  </si>
  <si>
    <t>REDUCAO DE PVC SOLDAVEL AGUA FRIA 50X25MM - FORNECIMENTO E INSTALACAO</t>
  </si>
  <si>
    <t>BUCHA REDUCAO PVC SOLD LONGA P/ AGUA FRIA PRED 50MM X 25MM</t>
  </si>
  <si>
    <t>REDUCAO DE PVC SOLDAVEL AGUA FRIA 50X32MM - FORNECIMENTO E INSTALACAO</t>
  </si>
  <si>
    <t>BUCHA REDUCAO PVC SOLD LONGA P/ AGUA FRIA PRED 50MM X 32MM</t>
  </si>
  <si>
    <t>BUCHA REDUCAO DE PVC SOLDAVEL LONGA AGUA FRIA 60X50MM - FORNECIMENTO E INSTALACAO</t>
  </si>
  <si>
    <t>BUCHA REDUCAO PVC SOLD LONGA P/ AGUA FRIA PRED 60MM X 50MM</t>
  </si>
  <si>
    <t>REDUCAO DE PVC SOLDAVEL AGUA FRIA 75X50MM - FORNECIMENTO E INSTALACAO</t>
  </si>
  <si>
    <t>BUCHA REDUCAO PVC SOLD LONGA P/ AGUA FRIA PRED 75MM X 50MM</t>
  </si>
  <si>
    <t>REDUCAO DE PVC SOLDAVEL AGUA FRIA 85X60MM - FORNECIMENTO E INSTALACAO</t>
  </si>
  <si>
    <t>BUCHA REDUCAO PVC SOLD LONGA P/ AGUA FRIA PRED 85MM X 60MM</t>
  </si>
  <si>
    <t xml:space="preserve">AJUDANTE </t>
  </si>
  <si>
    <t>REDUCAO DE PVC SOLDAVEL AGUA FRIA 110X60MM - FORNECIMENTO E INSTALACAO</t>
  </si>
  <si>
    <t>BUCHA REDUCAO PVC SOLD LONGA P/ AGUA FRIA PRED 110MM X 60MM</t>
  </si>
  <si>
    <t>CAP PVC SOLD AGUA FRIA 110MM (TAMPÃO) - FORNECIMENTO E INSTALAÇÃO</t>
  </si>
  <si>
    <t>JOELHO PVC SOLDAVEL 90º AGUA FRIA 25MM - FORNECIMENTO E INSTALACAO</t>
  </si>
  <si>
    <t>JOELHO PVC SOLD 90G P/ AGUA FRIA PREDIAL 25 MM</t>
  </si>
  <si>
    <t>JOELHO PVC SOLDAVEL 90º AGUA FRIA 32MM - FORNECIMENTO E INSTALACAO</t>
  </si>
  <si>
    <t>JOELHO PVC SOLD 90G P/AGUA FRIA PREDIAL 32 MM</t>
  </si>
  <si>
    <t>JOELHO PVC SOLDAVEL 90º AGUA FRIA 50MM - FORNECIMENTO E INSTALACAO</t>
  </si>
  <si>
    <t>JOELHO PVC SOLD 90G P/AGUA FRIA PREDIAL 50 MM</t>
  </si>
  <si>
    <t>JOELHO PVC SOLDAVEL 90º AGUA FRIA 75MM - FORNECIMENTO E INSTALACAO</t>
  </si>
  <si>
    <t>JOELHO PVC SOLD 90G P/ AGUA FRIA PREDIAL 75 MM</t>
  </si>
  <si>
    <t>JOELHO PVC SOLDAVEL 90º AGUA FRIA 85MM - FORNECIMENTO E INSTALACAO</t>
  </si>
  <si>
    <t>JOELHO PVC SOLD 90G P/ AGUA FRIA PREDIAL 85 MM</t>
  </si>
  <si>
    <t>JOELHO PVC SOLDAVEL 90º AGUA FRIA 110MM - FORNECIMENTO E INSTALACAO</t>
  </si>
  <si>
    <t>JOELHO PVC SOLD 90G P/ AGUA FRIA PREDIAL 110 MM</t>
  </si>
  <si>
    <t>JOELHO PVC SOLDAVEL COM ROSCA METALICA 90º AGUA FRIA 25MMX1/2" - FORNECIMENTO E INSTALACAO</t>
  </si>
  <si>
    <t>JOELHO REDUCAO 90G PVC SOLD C/ BUCHA DE LATAO 25MM X 1/2"</t>
  </si>
  <si>
    <t>JOELHO PVC SOLDAVEL COM ROSCA METALICA 90º AGUA FRIA 25MMX3/4"</t>
  </si>
  <si>
    <t>JOELHO PVC SOLD 90G C/BUCHA DE LATAO 25MM X 3/4"</t>
  </si>
  <si>
    <t>TUBO PVC SOLDAVEL AGUA FRIA DN 25MM, INCLUSIVE CONEXOES - FORNECIMENTO E INSTALACAO</t>
  </si>
  <si>
    <t>AJUDANTE ENCANADOR OU BOMBEIRO HIDRAULICO</t>
  </si>
  <si>
    <t>TUBO PVC SOLDAVEL AGUA FRIA DN 32MM, INCLUSIVE CONEXOES - FORNECIMENTO E INSTALACAO</t>
  </si>
  <si>
    <t>TUBO PVC SOLDAVEL EB-892 P/AGUA FRIA PREDIAL DN 32MM</t>
  </si>
  <si>
    <t>TUBO PVC SOLDAVEL AGUA FRIA DN 40MM, INCLUSIVE CONEXOES - FORNECIMENTO E INSTALACAO</t>
  </si>
  <si>
    <t>TUBO PVC SOLDAVEL EB-892 P/AGUA FRIA PREDIAL DN 40MM</t>
  </si>
  <si>
    <t>TUBO PVC SOLDAVEL AGUA FRIA DN 50MM, INCLUSIVE CONEXOES - FORNECIMENTO E INSTALACAO</t>
  </si>
  <si>
    <t>TUBO PVC SOLDAVEL EB-892 P/AGUA FRIA PREDIAL DN 50MM</t>
  </si>
  <si>
    <t>TUBO PVC SOLDAVEL AGUA FRIA DN 60MM, INCLUSIVE CONEXOES - FORNECIMENTO E INSTALACAO</t>
  </si>
  <si>
    <t>TUBO PVC SOLDAVEL EB-892 P/AGUA FRIA PREDIAL DN 60MM</t>
  </si>
  <si>
    <t>TUBO PVC SOLDAVEL AGUA FRIA DN 75MM, INCLUSIVE CONEXOES - FORNECIMENTO E INSTALACAO</t>
  </si>
  <si>
    <t>TUBO PVC SOLDAVEL EB-892 P/AGUA FRIA PREDIAL DN 75MM</t>
  </si>
  <si>
    <t>AJUDANTE DE OPERACAO EM GERAL</t>
  </si>
  <si>
    <t>TUBO PVC SOLDAVEL AGUA FRIA DN 85MM, INCLUSIVE CONEXOES - FORNECIMENTO E INSTALACAO</t>
  </si>
  <si>
    <t>TUBO PVC SOLDAVEL EB-892 P/AGUA FRIA PREDIAL DN 85MM</t>
  </si>
  <si>
    <t>TUBO PVC SOLDAVEL AGUA FRIA DN 110MM, INCLUSIVE CONEXOES - FORNECIMENTO E INSTALACAO</t>
  </si>
  <si>
    <t>TUBO PVC SOLDAVEL EB-892 P/AGUA FRIA PREDIAL DN 110MM</t>
  </si>
  <si>
    <t>TE DE PVC SOLDAVEL AGUA FRIA 25MM - FORNECIMENTO E INSTALACAO</t>
  </si>
  <si>
    <t>TE PVC SOLD 90G P/ AGUA FRIA PREDIAL 25MM</t>
  </si>
  <si>
    <t>TE DE PVC SOLDAVEL AGUA FRIA 32MM - FORNECIMENTO E INSTALACAO</t>
  </si>
  <si>
    <t>TE PVC SOLD 90G P/ AGUA FRIA PREDIAL 32MM</t>
  </si>
  <si>
    <t>TE DE PVC SOLDAVEL AGUA FRIA 40MM - FORNECIMENTO E INSTALACAO</t>
  </si>
  <si>
    <t>TE PVC SOLD 90G P/ AGUA FRIA PREDIAL 40MM</t>
  </si>
  <si>
    <t>TE DE PVC SOLDAVEL AGUA FRIA 50MM - FORNECIMENTO E INSTALACAO</t>
  </si>
  <si>
    <t>TE PVC SOLD 90G P/ AGUA FRIA PREDIAL 50MM</t>
  </si>
  <si>
    <t>TE DE PVC SOLDAVEL AGUA FRIA 60MM - FORNECIMENTO E INSTALACAO</t>
  </si>
  <si>
    <t>TE PVC SOLD 90G P/ AGUA FRIA PREDIAL 60MM</t>
  </si>
  <si>
    <t>TE DE PVC SOLDAVEL AGUA FRIA 75MM - FORNECIMENTO E INSTALACAO</t>
  </si>
  <si>
    <t>TE PVC SOLD 90G P/ AGUA FRIA PREDIAL 75MM</t>
  </si>
  <si>
    <t>TE DE PVC SOLDAVEL AGUA FRIA 85MM - FORNECIMENTO E INSTALACAO</t>
  </si>
  <si>
    <t>TE PVC SOLD 90G P/ AGUA FRIA PREDIAL 85MM</t>
  </si>
  <si>
    <t>TE DE PVC SOLDAVEL AGUA FRIA 110MM - FORNECIMENTO E INSTALACAO</t>
  </si>
  <si>
    <t>TE PVC SOLD 90G P/ AGUA FRIA PREDIAL 110MM</t>
  </si>
  <si>
    <t>TE REDUÇÃO PVC SOLDAVEL AGUA FRIA 32X25MM - FORNECIMENTO E INSTALACAO</t>
  </si>
  <si>
    <t>TE REDUCAO PVC SOLD 90G P/ AGUA FRIA PREDIAL 32 MM X 25 MM</t>
  </si>
  <si>
    <t>TE REDUÇÃO PVC SOLDAVEL AGUA FRIA 40X32MM - FORNECIMENTO E INSTALACAO</t>
  </si>
  <si>
    <t>TE REDUCAO PVC SOLD 90G P/ AGUA FRIA PREDIAL 40 MM X 32 MM</t>
  </si>
  <si>
    <t>TE REDUÇÃO PVC SOLDAVEL AGUA FRIA 50X25MM - FORNECIMENTO E INSTALACAO</t>
  </si>
  <si>
    <t>TE REDUCAO PVC SOLD 90G P/ AGUA FRIA PREDIAL 50 MM X 25 MM</t>
  </si>
  <si>
    <t>TE REDUÇÃO PVC SOLDAVEL AGUA FRIA 50X32MM - FORNECIMENTO E INSTALACAO</t>
  </si>
  <si>
    <t>TE REDUCAO PVC SOLD 90G P/ AGUA FRIA PREDIAL 50 MM X 32 MM</t>
  </si>
  <si>
    <t>TE REDUCAO PVC SOLDAVEL AGUA FRIA 75X50MM - FORNECIMENTO E INSTALACAO</t>
  </si>
  <si>
    <t>TE REDUCAO PVC SOLD 90G P/ AGUA FRIA PREDIAL 75 MM X 50 MM</t>
  </si>
  <si>
    <t>ESGOTO</t>
  </si>
  <si>
    <t>CAIXA DE INSPEÇÃO EM ALVENARIA DE TIJOLO MACIÇO 60X60X60CM, REVESTIDA INTERNAMENTO COM BARRA LISA (CIMENTO E AREIA, TRAÇO 1:4) E=2,0CM, COM TAMPA PRÉ-MOLDADA DE CONCRETO E FUNDO DE CONCRETO 15MPA TIPO C - ESCAVAÇÃO E CONFECÇÃO</t>
  </si>
  <si>
    <t>TIJOLO CERAMICO MACICO 5 X 10 X 20CM</t>
  </si>
  <si>
    <t>ARGAMASSA CIMENTO/AREIA MEDIA PENEIRADA 1:4 PREPARO C/BETONEIRA</t>
  </si>
  <si>
    <t>ARGAMASSA CIMENTO/CAL/AREIA MEDIA SEM PENEIRAR 1:2:8 PREPARO MECANICO</t>
  </si>
  <si>
    <t>TAMPA EM CONCRETO ARMADO 60X60X5CM P/CX INSPECAO/FOSSA SEPTICA</t>
  </si>
  <si>
    <t>74019_1</t>
  </si>
  <si>
    <t>ESCAVACAO MANUAL (VALAS OU FUNDACOES RASAS)</t>
  </si>
  <si>
    <t>CAIXA SIFONADA EM PVC 150X150X50MM</t>
  </si>
  <si>
    <t>CAIXA SIFONADA PVC 150 X 150 X 50MM C/ GRELHA REDONDA BRANCA</t>
  </si>
  <si>
    <t>CAIXA SIFONADA PVC 150 X 185 X 75MM C/ GRELHA QUADRADA BRANCA</t>
  </si>
  <si>
    <t>RALO SIFONADO PVC QUADRADO 100X100X53MM SAIDA 40MM C/GRELHA BRANCA</t>
  </si>
  <si>
    <t>CURVA PVC CURTA 90º ESGOTO 40MM - FORNECIMENTO E INSTALACAO</t>
  </si>
  <si>
    <t>CURVA PVC 90G CURTA PVC P/ ESG PREDIAL DN 40 MM</t>
  </si>
  <si>
    <t>CURVA PVC CURTA 90º ESGOTO 50MM - FORNECIMENTO E INSTALACAO</t>
  </si>
  <si>
    <t>CURVA PVC 90G CURTA PVC P/ ESG PREDIAL DN 50MM</t>
  </si>
  <si>
    <t>CURVA PVC LONGA 90G P/ ESG PREDIAL DN 50MM</t>
  </si>
  <si>
    <t>CURVA PVC LONGA 90G P/ ESG PREDIAL DN 75MM</t>
  </si>
  <si>
    <t>JOELHO PVC 45º ESGOTO 40MM - FORNECIMENTO E INSTALACAO</t>
  </si>
  <si>
    <t>JOELHO PVC SOLD 45G BB P/ ESG PREDIAL DN 40MM</t>
  </si>
  <si>
    <t>JOELHO PVC 45º ESGOTO 50MM - FORNECIMENTO E INSTALACAO</t>
  </si>
  <si>
    <t>JOELHO PVC SOLD 45G PB P/ ESG PREDIAL DN 50MM</t>
  </si>
  <si>
    <t>JOELHO PVC 45º ESGOTO 75MM - FORNECIMENTO E INSTALACAO</t>
  </si>
  <si>
    <t>JOELHO PVC SOLD 45G PB P/ ESG PREDIAL DN 75MM</t>
  </si>
  <si>
    <t>JOELHO PVC 45º ESGOTO 100MM - FORNECIMENTO E INSTALACAO</t>
  </si>
  <si>
    <t>JOELHO PVC SERIE R P/ ESG PREDIAL 45G DN 100MM</t>
  </si>
  <si>
    <t>JOELHO PVC 90º ESGOTO 50MM - FORNECIMENTO E INSTALACAO</t>
  </si>
  <si>
    <t>JOELHO PVC SOLD 90G PB P/ ESG PREDIAL DN 50MM</t>
  </si>
  <si>
    <t>JOELHO PVC 90º ESGOTO 100MM - FORNECIMENTO E INSTALACAO</t>
  </si>
  <si>
    <t>JOELHO PVC SOLD 90G PB P/ ESG PREDIAL DN 100MM</t>
  </si>
  <si>
    <t>JOELHO PVC SOLD 90G PB P/ ESG PREDIAL DN 75MM</t>
  </si>
  <si>
    <t>JOELHO PVC 90º ESGOTO 40MM C/ ANEL BORRACHA - FORNECIMENTO E INSTALACAO</t>
  </si>
  <si>
    <t>JOELHO PVC SOLD 90G BB P/ ESG PREDIAL DN 40MM</t>
  </si>
  <si>
    <t>ANEL BORRACHA P/ TUBO ESGOTO PREDIAL EB 608 DN 40MM</t>
  </si>
  <si>
    <t>JUNCAO PVC ESGOTO 75X75MM - FORNECIMENTO E INSTALACAO</t>
  </si>
  <si>
    <t>JUNCAO SIMPLES PVC P/ ESG PREDIAL DN 75X75MM</t>
  </si>
  <si>
    <t>JUNCAO PVC ESGOTO 100X100MM - FORNECIMENTO E INSTALACAO</t>
  </si>
  <si>
    <t>JUNCAO SIMPLES PVC P/ ESG PREDIAL DN 100X100MM</t>
  </si>
  <si>
    <t>JUNCAO PVC ESGOTO 75X50MM - FORNECIMENTO E INSTALACAO</t>
  </si>
  <si>
    <t>JUNCAO SIMPLES PVC P/ ESG PREDIAL DN 75X50MM</t>
  </si>
  <si>
    <t>JUNCAO PVC ESGOTO 100X50MM - FORNECIMENTO E INSTALACAO</t>
  </si>
  <si>
    <t>JUNCAO SIMPLES PVC P/ ESG PREDIAL DN 100X50MM</t>
  </si>
  <si>
    <t>JUNCAO PVC ESGOTO 100X75MM - FORNECIMENTO E INSTALACAO</t>
  </si>
  <si>
    <t>JUNCAO SIMPLES PVC P/ ESG PREDIAL DN 100X75MM</t>
  </si>
  <si>
    <t>LUVA PVC ESGOTO 50MM - FORNECIMENTO E INSTALACAO</t>
  </si>
  <si>
    <t>LUVA SIMPLES PVC P/ ESG PREDIAL DN 50MM</t>
  </si>
  <si>
    <t>LUVA PVC ESGOTO 75MM - FORNECIMENTO E INSTALACAO</t>
  </si>
  <si>
    <t>LUVA SIMPLES PVC P/ ESG PREDIAL DN 75MM</t>
  </si>
  <si>
    <t>LUVA PVC ESGOTO 100MM - FORNECIMENTO E INSTALACAO</t>
  </si>
  <si>
    <t>LUVA SIMPLES PVC P/ ESG PREDIAL DN 100MM</t>
  </si>
  <si>
    <t>REDUÇÃO EXCENTRICA PVC P/ ESGOTO PREDIAL 75X50MM</t>
  </si>
  <si>
    <t>REDUÇÃO EXCENTRICA PVC P/ ESGOTO PREDIAL 75X50</t>
  </si>
  <si>
    <t>REDUÇÃO EXCENTRICA PVC P/ ESGOTO PREDIAL 100X50MM</t>
  </si>
  <si>
    <t>REDUÇÃO EXCENTRICA PVC P/ ESGOTO PREDIAL 100X50</t>
  </si>
  <si>
    <t>REDUÇÃO EXCENTRICA PVC P/ ESGOTO PREDIAL 100X75MM</t>
  </si>
  <si>
    <t>REDUÇÃO EXCENTRICA PVC P/ ESGOTO PREDIAL 100X75</t>
  </si>
  <si>
    <t>TE SANITARIO 50X50MM, JUNTA SOLDADA - FORNECIMENTO E INSTALACAO</t>
  </si>
  <si>
    <t>TE SANITARIO PVC P/ ESG PREDIAL DN 50 X 50MM</t>
  </si>
  <si>
    <t>TE SANITARIO 75X75MM, JUNTA SOLDADA - FORNECIMENTO E INSTALACAO</t>
  </si>
  <si>
    <t>TE SANITARIO PVC P/ ESG PREDIAL DN 75X75 MM</t>
  </si>
  <si>
    <t>TE SANITARIO 75X50MM, COM ANÉIS - FORNECIMENTO E INSTALACAO</t>
  </si>
  <si>
    <t>TE SANITARIO PVC P/ ESG PREDIAL DN 75X50 MM</t>
  </si>
  <si>
    <t>PASTA LUBRIFICANTE PARA TUBOS DE PVC C/ ANEL DE BORRACHA ( POTE 500G)</t>
  </si>
  <si>
    <t>ANEL BORRACHA P/ TUBO ESGOTO PREDIAL EB 608 DN 50MM</t>
  </si>
  <si>
    <t>ANEL BORRACHA P/ TUBO ESGOTO PREDIAL EB 608 DN 75MM</t>
  </si>
  <si>
    <t>TUBO PVC ESGOTO JS PREDIAL DN 40MM, INCLUSIVE CONEXOES - FORNECIMENTO E INSTALACAO</t>
  </si>
  <si>
    <t>TUBO PVC P/ ESG PREDIAL DN 40MM</t>
  </si>
  <si>
    <t>FORN./ASSENTAM. TUBO PVC BRANCO ESGOTO DN 50 COM CONEXOES</t>
  </si>
  <si>
    <t>TUBO PVC P/ ESG PREDIAL DN 50MM</t>
  </si>
  <si>
    <t>FORN./ASSENTAM. TUBO PVC BRANCO ESGOTO DN 75 COM CONEXOES</t>
  </si>
  <si>
    <t>TUBO PVC P/ ESG PREDIAL DN 75MM</t>
  </si>
  <si>
    <t>TUBO PVC PARA ESGOTO PREDIAL DN 100MM - FORNECIMENTO E INSTALACAO</t>
  </si>
  <si>
    <t>16.1</t>
  </si>
  <si>
    <t>73786_6</t>
  </si>
  <si>
    <t>TUBO DE AÇO GALVANIZADO, SEM CONEXÕES COM COSTURA Ø65MM (2.1/2") - FORNECIMENTO E INSTALAÇÃO</t>
  </si>
  <si>
    <t>TE DE ACO GALVANIZADO 2.1/2" - FORNECIMENTO E INSTALACAO</t>
  </si>
  <si>
    <t>TE FERRO GALVANIZADO 90G 2.1/2"</t>
  </si>
  <si>
    <t>COTOVELO DE AÇO GALVANIZADO 2.1/2"</t>
  </si>
  <si>
    <t>JOELHO FERRO GALV 90G ROSCA 2 1/2"</t>
  </si>
  <si>
    <t>LUVA FERRO GALV ROSCA 2.1/2'</t>
  </si>
  <si>
    <t>16.2</t>
  </si>
  <si>
    <t>ABRIGO PARA HIDRANTE, 90X60X17CM, COM REGISTRO GLOBO ANGULAR 45º 2.1/2", ADAPTADOR STORZ 2.1/2", MANGUEIRA DE INCÊNDIO 15M, REDUÇÃO 2.1/2X1.1/2" E ESGUICHO EM LATÃO 1.1/2" - FORNECIMENTO E INSTALAÇÃO</t>
  </si>
  <si>
    <t>ADAPTADOR EM LATAO P/ INSTALACAO PREDIAL DE COMBATE A INCENDIO ENGATE</t>
  </si>
  <si>
    <t>ESGUICHO EM LATAO JATO SOLIDO P/ INSTALACAO PREDIAL COMBATE A INCENDIO</t>
  </si>
  <si>
    <t>REDUCAO FIXA TIPO STORZ LATAO P/ INST. PREDIAL COMBATE A INCENDIO ENGATE RAPIDO 2.1/2" X 1.1/2"</t>
  </si>
  <si>
    <t>REGISTRO/VALVULA GLOBO ANGULAR 45 GRAUS EM LATAO P/ HIDRANTES DE INCEN</t>
  </si>
  <si>
    <t>MANGUEIRA DE INCENDIO C/ CAPA SIMPLES TECIDA FIO POLIESTER TUBO INT BORRACHA SINT ABNT TP 1 P/ INSTPR, COMP C/ UNIOES E EMPAT INT LATAO C/ ENG RAP E ANEIS EXP P/ EMP MANG COBRE D = 1 1/2 L = 20M</t>
  </si>
  <si>
    <t>MANGUEIRA DE INCENDIO C/ CAPA SIMPLES TECIDA FIO POLIESTER TUBO INT BORRACHA SINT ABNT TP 1 P/ INSTPR, COMP C/ UNIOES E EMPAT INT LATAO C/ ENG RAP E ANEIS EXP P/ EMP MANG COBRE D = 1 1/2 L = 25M</t>
  </si>
  <si>
    <t>NIPLE DE ACO GALVANIZADO 2.1/2" - FORNECIMENTO E INSTALACAO</t>
  </si>
  <si>
    <t>NIPEL FERRO GALV ROSCA 2.121,8/2"</t>
  </si>
  <si>
    <t>LUMINÁRIA FLUORESCENTE COMPLETA PARA EMERGÊNCIA DE 15 W</t>
  </si>
  <si>
    <t>LUMINÁRIA FLUORESCENTE DE EMERGÊNCIA PARA 2 LAMPADAS (POTÊNCIA: 15,00 W / TENSÃO: 120/220 V)</t>
  </si>
  <si>
    <t>ACIONADOR MANUAL DE ALARME DE INCÊNDIO</t>
  </si>
  <si>
    <t>ACIONADOR MANUAL DE ALARME DE INCÊNDIO (TENSÃO: 17 A</t>
  </si>
  <si>
    <t>CENTRAL DE ALARME DE INCÊNDIO PARA 24 PONTOS</t>
  </si>
  <si>
    <t>CENTRAL DE ALARME DE INCÊNDIO (QUANTIDADE DE PONTOS: 24 / TENSÃO DE SAÍDA: 24 VCC)</t>
  </si>
  <si>
    <t>SIRENE ELETROMECÂNICA, ALCANCE 2000 M.</t>
  </si>
  <si>
    <t>23703_11043082</t>
  </si>
  <si>
    <t>SIRENE ELETROMECÂNICA ROTATIVA (ALCANCE: 2000 M / TENSÃO: 110 V)</t>
  </si>
  <si>
    <t>16.3</t>
  </si>
  <si>
    <t>EXTINTOR DE AGUA PRESSURIZADA - AP - 10L</t>
  </si>
  <si>
    <t>EXTINTOR DE INCENDIO C/ CARGA DE AGUA PRESSURIZADA AP 10L</t>
  </si>
  <si>
    <t>EXTINTOR INCENDIO TP PO QUIMICO 4KG FORNECIMENTO E COLOCACAO</t>
  </si>
  <si>
    <t>EXTINTOR DE INCENDIO C/ CARGA DE PO QUIMICO SECO PQS 4KG</t>
  </si>
  <si>
    <t>PLACA DE SINALIZAÇAO VERTICAL - EXTINTORES</t>
  </si>
  <si>
    <t>PLACA ACRILICO P/IDENTIFICACAO 25 X 8CM E=4MM</t>
  </si>
  <si>
    <t>FITA DE SINALIZAÇÃO HORIZONTAL - EXTINTORES</t>
  </si>
  <si>
    <t>FITA  ADESIVA DE SINALIZAÇÃO HORIZONTAL - EXTINTORES</t>
  </si>
  <si>
    <t>PINTOR</t>
  </si>
  <si>
    <t>INSTALAÇÕES ELETRICAS</t>
  </si>
  <si>
    <t>ARAME GALVANIZADO 14 BWG</t>
  </si>
  <si>
    <t>ARAME GALVANIZADO 14 BWG - 2,10MM - 27,20 G/M</t>
  </si>
  <si>
    <t>BUCHA/ARRUELA ALUMINIO 3/4"</t>
  </si>
  <si>
    <t>BUCHA E ARRUELA ALUMINIO FUNDIDO P/ ELETRODUTO 20MM (3/4'')</t>
  </si>
  <si>
    <t>CABO DE COBRE ISOLADO PVC RESISTENTE A CHAMA 450/750 V 2,5 MM2 FORNECIMENTO E INSTALACAO</t>
  </si>
  <si>
    <t>CABO DE COBRE ISOLAMENTO ANTI-CHAMA 450/750V 2,5MM2, TP PIRASTIC PIREL</t>
  </si>
  <si>
    <t>FITA ISOLANTE ADESIVA ANTI-CHAMA EM ROLOS 19MM X 5M</t>
  </si>
  <si>
    <t>CABO DE COBRE ISOLADO PVC RESISTENTE A CHAMA 450/750 V 4 MM2 FORNECIMENTO E INSTALACAO</t>
  </si>
  <si>
    <t>CABO DE COBRE ISOLAMENTO ANTI-CHAMA 450/750V 4MM2, FLEXIVEL, TP FORESP</t>
  </si>
  <si>
    <t>CABO DE COBRE ISOLADO PVC RESISTENTE A CHAMA 450/750 V 6 MM2 FORNECIMENTO E INSTALACAO</t>
  </si>
  <si>
    <t>CABO DE COBRE ISOLAMENTO ANTI-CHAMA 450/750V 6MM2, FLEXIVEL, TP FORESPLAST ALCOA OU EQUIV</t>
  </si>
  <si>
    <t>CAIXA METALICA RET. 4X2X2</t>
  </si>
  <si>
    <t>CAIXA DE PASSAGEM 4" X 2" EM FERRO GALV"</t>
  </si>
  <si>
    <t>CAIXA METALICA RET. 4X4X2</t>
  </si>
  <si>
    <t>CAIXA DE PASSAGEM 4" X 4" EM FERRO GALV"</t>
  </si>
  <si>
    <t>CAIXA MET.HEXAGONAL P/ARANDELA (SEXTAVADA 3"X3")</t>
  </si>
  <si>
    <t>CAIXA DE PASSAGEM 3" X 3" SEXTAVADA EM FERRO GALV"</t>
  </si>
  <si>
    <t>CURVA PVC 3/4" P/ ELETRODUTO ROSCAVEL</t>
  </si>
  <si>
    <t>CURVA PVC 90G P/ ELETRODUTO ROSCAVEL 3/4"</t>
  </si>
  <si>
    <t>DISJUNTOR TERMOMAGNETICO TRIPOLAR 70A</t>
  </si>
  <si>
    <t>DISJUNTOR TERMOMAGNETICO TRIPOLAR 100A</t>
  </si>
  <si>
    <t>DISJUNTOR TERMOMAGNETICO TRIPOLAR EM CAIXA MOLDADA 250A 600V, FORNECIMENTO E INSTALACAO</t>
  </si>
  <si>
    <t>DISJUNTOR TERMOMAGNETICO TRIPOLAR 250A/600V, TIPO FXD SIEMENS OU EQUIV</t>
  </si>
  <si>
    <t>PERFILADO LISO EM CHAPA DE AÇO COM TAMPA, DIMENSÕES 38 X 38 MM</t>
  </si>
  <si>
    <t>PERFILADO EM CHAPA DE AÇO COM TAMPA LISO (ALTURA: 38,00 MM / LARGURA: 38,00 MM)</t>
  </si>
  <si>
    <t>ELETRODUTO PVC RIGIDO 3/4" C/ LUVA APARENTE</t>
  </si>
  <si>
    <t>ELETRODUTO PVC ROSCA S/LUVA 20MM - 3/4"</t>
  </si>
  <si>
    <t>LUVA PVC ROSCAVEL P/ ELETRODUTO 3/4"</t>
  </si>
  <si>
    <t>ELETRODUTO PVC FLEXIVEL CORRUGADO 20MM TIPO TIGREFLEX OU EQUIV</t>
  </si>
  <si>
    <t>ELETRODUTO PVC FLEXIVEL CORRUGADO 25MM TIPO TIGREFLEX OU EQUIV</t>
  </si>
  <si>
    <t>HASTE COPPERWELD 5/8" X 3,0M C/CONECTOR</t>
  </si>
  <si>
    <t>HASTE DE TERRA EM ACO REVESTIDO DE COBRE DN 5/8'' X 3000MM C/ CONECTOR</t>
  </si>
  <si>
    <t>INTERRUPTOR SIMPLES - 1 TECLA - FORNECIMENTO E INSTALACAO</t>
  </si>
  <si>
    <t>INTERRUPTOR SIMPLES EMBUTIR 10A/250V S/PLACA, TIPO SILENTOQUE PIAL OU</t>
  </si>
  <si>
    <t>INTERRUPTOR SIMPLES - 2 TECLAS - FORNECIMENTO E INSTALACAO</t>
  </si>
  <si>
    <t>INTERRUPTOR PARALELO EMBUTIR 10A/250V S/ PLACA, TIPO SILENTOQUE PIAL OU EQUIV</t>
  </si>
  <si>
    <t>LUMINARIA TIPO SPOT PLASTICO PARA 1 LAMP. INCAND/MINI-FLUOR.</t>
  </si>
  <si>
    <t>LUMINARIA PHILLIPS TIPO SPOT</t>
  </si>
  <si>
    <t>PROJETOR CIRCULAR (ATE 200 W ) BASE E-27</t>
  </si>
  <si>
    <t>PROJETOR P/ FACHADA PROVA DE TEMPO P/ LAMPADA INCANDESCENTE OU VAPOR MERCURIO E27, TIPO Z-15 PETERCO OU EQUIV</t>
  </si>
  <si>
    <t>LUMINARIA CIRCULAR COM VIDRO P/QUADRA 400 W, P/BASE E-40</t>
  </si>
  <si>
    <t>LUMINARIA PHILLIPS PARA LAMPADA DE 400 W MODELO HDK 47240064 OU EQUIVALENTE</t>
  </si>
  <si>
    <t>DISPOSITIVO DE PROTEÇÃO CONTRA SURTOS (D.P.S.) 275V DE 8 A 40KA</t>
  </si>
  <si>
    <t>DISPOSITIVO DE PROTEÇÃO CONTRA  SURTOS(DPS) 275V DE 8 A 40KA</t>
  </si>
  <si>
    <t>QUADRO DE DISTRIBUICAO DE ENERGIA EM CHAPA METALICA, DE EMBUTIR, COM PORTA, PARA 40 DISJUNTORES TERMOMAGNETICOS MONOPOLARES, COM DISPOSITIVO PARA CHAVE GERAL, COM BARRAMENTO TRIFASICO E NEUTRO, FORNECIMENTO E INSTALACAO</t>
  </si>
  <si>
    <t>QUADRO DE DISTRIBUICAO DE EMBUTIR C/ BARRAMENTO TRIFASICO P/ 40 DISJUNTORES UNIPOLARES EM CHAPA DE ACO GALV COM CHAVE GERAL TRIFASICA</t>
  </si>
  <si>
    <t>QUADRO DE DISTRIBUICAO DE ENERGIA EM CHAPA METALICA, DE EMBUTIR, COM PORTA, PARA 50 DISJUNTORES TERMOMAGNETICOS MONOPOLARES, COM DISPOSITIVO PARA CHAVE GERAL, COM BARRAMENTO TRIFASICO E NEUTRO, FORNECIMENTO E INSTALACAO</t>
  </si>
  <si>
    <t>QUADRO DE DISTRIBUICAO DE EMBUTIR C/ BARRAMENTO TRIFASICO P/ 50 DISJUN</t>
  </si>
  <si>
    <t>TOMADA 2P+T 10A - 440V - FORNECIMENTO E INSTALACAO</t>
  </si>
  <si>
    <t>TOMADA EMBUTIR 2P + T 15A/250V C/PLACA, TIPO SILENTOQUE OU EQUIV</t>
  </si>
  <si>
    <t>BLOCO TELEFONICO BLI-10 C/CANALETA</t>
  </si>
  <si>
    <t>ABRACADEIRA DE NYLON PARA AMARRACAO DE CABOS, COMPRIM= 232Mm</t>
  </si>
  <si>
    <t>ABRACADEIRA DE NYLON PARA AMARRACAO DE CABOS, COMPRIM= 232MM</t>
  </si>
  <si>
    <t>CABO TELEFONICO CI-50 30PARES (USO INTERNO) - FORNECIMENTO E INSTALACAO</t>
  </si>
  <si>
    <t>CABO TELEFONICO USO INTERNO TP CI PARA 30 PARES</t>
  </si>
  <si>
    <t>CABO TELEFONICO CTP-APL-50, 30 PARES (USO EXTERNO) - FORNECIMENTO E INSTALACAO</t>
  </si>
  <si>
    <t>CABO TELEFONICO TP CTP-APL 0,50 PARA 30 PARES</t>
  </si>
  <si>
    <t>CABO UTP-4P, CAT.5E, 24 AWG</t>
  </si>
  <si>
    <t>CAIXA PASSAGEM P/TELEFONE  20X 20X12CM</t>
  </si>
  <si>
    <t>CAIXA DE PASSAGEM N 2 PADRAO TELEBRAS DIM 20 X 20 X 12CM EM CHAPA DE A</t>
  </si>
  <si>
    <t>CAIXA ENTERRADA PARA INSTALACOES TELEFONICAS TIPO R1 MEDIDAS 0,60X0,35X0,50M EM BLOCOS DE CONCRETO ESTRUTURAL 0,10X0,20X0,40M ASSENTADOS COM ARGAMASSA DE CIMENTO E AREIA TRACO 1:4</t>
  </si>
  <si>
    <t>ACO CA-50 1/4" (6,35 MM)</t>
  </si>
  <si>
    <t>CONCRETO DOSADO 15 MPA SOMENTE MATERIAIS INCL 5% PERDAS</t>
  </si>
  <si>
    <t>FORMA MADEIRA 2 VEZES PINHO 3A ESP=2,5CM P/PECAS DE CONCRETO ARMADO INCL FORN MATERIAIS E DESMOLDAGEM EXCL ESCORAMENTO. ARMADO INCL FORN MATERIAISE DESMOLDAGEM EXCL ESCORAMENTO.</t>
  </si>
  <si>
    <t>ALVENARIA P/CX ENTERR ATE 0,80M C/BL CONC 10X20X40CM C/ARGAMASSA 1:4 CIMENTO E AREIA E CONCRETO 20MPA P/ENCHIMENTO DOS FUROS.</t>
  </si>
  <si>
    <t>EMBOCO CIMENTO AREIA 1:4 ESP=1,5CM INCL CHAPISCO 1:3 E=9MM</t>
  </si>
  <si>
    <t>CONCRETO DOSADO 10 MPA SOMENTE MATERIAIS INCL 5% PERDAS</t>
  </si>
  <si>
    <t>TAMPA FOFO TP R1 PADRAO TELEBRAS 385 X 630MM 25KG CARGA MAX 1500KG P/</t>
  </si>
  <si>
    <t>CAIXA PASSAGEM P/TELEFONE  80X 80X15CM</t>
  </si>
  <si>
    <t>CAIXA DE PASSAGEM P/ TELEFONE EM CHAPA DE ACO GALV 80 X 80 X 15CM</t>
  </si>
  <si>
    <t>CONECTOR RJ-45 CAT.5E</t>
  </si>
  <si>
    <t>CONECTOR RJ 45 CAT.5E</t>
  </si>
  <si>
    <t>PATCH CORD UTP-4 P, CAT 5E, FLEXIVEL 2.0 M</t>
  </si>
  <si>
    <t>PATCH PANNEL PADRÃO 19" CAT. 5E, COM 24 PORTAS</t>
  </si>
  <si>
    <t>SWICHT CAMADA 3 POE GERENCIÁVEL C/ 24 PORTAS</t>
  </si>
  <si>
    <t>ELETRICISTA INDUSTRIAL</t>
  </si>
  <si>
    <t>TOMADA LOGICA RJ-45 TIPO KEYSTONE JACK, CAT. 5E</t>
  </si>
  <si>
    <t>CABO DE COBRE ISOLAMENTO ANTI-CHAMA 0,6/1KV 16MM2</t>
  </si>
  <si>
    <t>CABO DE COBRE ISOLAMENTO ANTI-CHAMA 0,6/1KV 16MM2 (1 CONDUTOR) TP SINTENAX PIRELLI OU EQUIV</t>
  </si>
  <si>
    <t xml:space="preserve"> PINTURA</t>
  </si>
  <si>
    <t>LIXA P/ PAREDE OU MADEIRA</t>
  </si>
  <si>
    <t>SELADOR ACRILICO</t>
  </si>
  <si>
    <t>PINTURA LATEX ACRILICA AMBIENTES INTERNOS/EXTERNOS, DUAS DEMAOS</t>
  </si>
  <si>
    <t>TINTA LATEX ACRILICA</t>
  </si>
  <si>
    <t>PINTURA EM ESMALTE SINTETICO EM PECAS METALICAS UTILIZANDO REVOLVER/COMPRESSOR, DUAS DEMAOS, INCLUSO UMA DEMAO FUNDO OXIDO DE FERRO/ZARCAO</t>
  </si>
  <si>
    <t>LIXA P/ FERRO</t>
  </si>
  <si>
    <t>REMOVEDOR DE TINTA OLEO/ESMALTE VERNIZ</t>
  </si>
  <si>
    <t>TINTA ESMALTE SINTETICO FOSCO</t>
  </si>
  <si>
    <t>VERNIZ SINTETICO BRILHANTE</t>
  </si>
  <si>
    <t>GL</t>
  </si>
  <si>
    <t>SOLVENTE DILUENTE A BASE DE AGUARRAS</t>
  </si>
  <si>
    <t>TINTA ESMALTE SINTETICO ALTO BRILHO</t>
  </si>
  <si>
    <t>DEMARCACAO QUADRA ESPORTIVA C/TINTA ACRILICA P/PISOS</t>
  </si>
  <si>
    <t>FITA CREPE EM ROLOS 25MMX50M</t>
  </si>
  <si>
    <t>TINTA ACRILICA PARA PISO</t>
  </si>
  <si>
    <t>BANCA GRANITO AMENDOA L=60CM E=3CM EM PAREDE, S/APOIO</t>
  </si>
  <si>
    <t>GRANITO AMENDOA POLIDO PARA BANCADA ESP = 2 CM</t>
  </si>
  <si>
    <t>COLOCACAO BANCA MARMORE/GRANITO/ACO INOX EXCLUSIVE BANCA</t>
  </si>
  <si>
    <t>TUBO ACO GALV C/ COSTURA DIN 2440/NBR 5580 CLASSE MEDIA DN 1.1/2" (40M</t>
  </si>
  <si>
    <t>CORRIMAO TUBO FERRO GALVANIZADO 2 1/2" C/BRACADEIRA</t>
  </si>
  <si>
    <t>BRACADEIRA C/ PARAFUSO D = 2 1/2"</t>
  </si>
  <si>
    <t>ARGAMASSA TRACO 1:4 (CIMENTO E AREIA), PREPARO MANUAL</t>
  </si>
  <si>
    <t>GUARDA-CORPO COM CORRIMAO EM FERRO BARRA CHATA 3/16"</t>
  </si>
  <si>
    <t>BARRA FERRO RETANGULAR CHATA QUALQUER BITOLA X E = 3/16"</t>
  </si>
  <si>
    <t>ARGAMASSA CAL/AREIA MEDIA S/PENEIRAR 1:4 PREPARO MANUAL</t>
  </si>
  <si>
    <t>SPLIT 24000BTUS</t>
  </si>
  <si>
    <t>SPLIT 30000BTUS</t>
  </si>
  <si>
    <t>SPLIT 36000BTUS</t>
  </si>
  <si>
    <t xml:space="preserve"> LIMPEZA FINAL</t>
  </si>
  <si>
    <t>LIMPEZA FINAL DA OBRA</t>
  </si>
  <si>
    <t>ACIDO MURIATICO (SOLUCAO ACIDA)</t>
  </si>
  <si>
    <t xml:space="preserve"> ADMINISTRAÇÃO OBRA</t>
  </si>
  <si>
    <t>ENGENHEIRO CIVIL (SEIS HORAS DIÁRIAS)</t>
  </si>
  <si>
    <t>ENGENHEIRO OU ARQUITETO /PLENO - DE OBRA</t>
  </si>
  <si>
    <t>MESTRE DE OBRAS</t>
  </si>
  <si>
    <t>COMPOSIÇÃO UNITARIA</t>
  </si>
  <si>
    <t>CENTRAL IMPACTA 220 DIGITAL</t>
  </si>
  <si>
    <t>SERVIÇOS DE INSTALAÇÃO DA CENTRAL</t>
  </si>
  <si>
    <t>RACK DE 12US COMPLETO</t>
  </si>
  <si>
    <t>COMP2</t>
  </si>
  <si>
    <t>5,0[BARRACAOCIMENTO]+20,0[REFEITORIO]+25,00[VESTIARIO]+9,0[ESCRITORIO]+20,00[ALMOXERIFADO]</t>
  </si>
  <si>
    <t>CARGA MANUAL E REMOCAO E ENTULHO COM TRANSPORTE ATE 1KM EM CAMINHAO BA</t>
  </si>
  <si>
    <t>FECHADURA DE EMBUTIR COMPLETA, PARA PORTAS EXTERNAS, PADRAO DE ACABAMENTO MEDIO</t>
  </si>
  <si>
    <t>COMP5</t>
  </si>
  <si>
    <t>COMP6</t>
  </si>
  <si>
    <t>COMP7</t>
  </si>
  <si>
    <t>COMP8</t>
  </si>
  <si>
    <t>COMP9</t>
  </si>
  <si>
    <t>COMP10</t>
  </si>
  <si>
    <t>COMP11</t>
  </si>
  <si>
    <t>COMP12</t>
  </si>
  <si>
    <t>COMP13</t>
  </si>
  <si>
    <t>COMP14</t>
  </si>
  <si>
    <t>COMP15</t>
  </si>
  <si>
    <t>COMP16</t>
  </si>
  <si>
    <t>COMP17</t>
  </si>
  <si>
    <t>COMP18</t>
  </si>
  <si>
    <t>COMP19</t>
  </si>
  <si>
    <t>COMP20</t>
  </si>
  <si>
    <t>COMP21</t>
  </si>
  <si>
    <t>COMP22</t>
  </si>
  <si>
    <t>COMP23</t>
  </si>
  <si>
    <t>COMP24</t>
  </si>
  <si>
    <t>COMP25</t>
  </si>
  <si>
    <t>COMP26</t>
  </si>
  <si>
    <t>COMP29</t>
  </si>
  <si>
    <t>COMP30</t>
  </si>
  <si>
    <t>COMP31</t>
  </si>
  <si>
    <t>COMP32</t>
  </si>
  <si>
    <t>COMP33</t>
  </si>
  <si>
    <t>COMP35</t>
  </si>
  <si>
    <t>COMP36</t>
  </si>
  <si>
    <t>COMP73</t>
  </si>
  <si>
    <t>COMP74</t>
  </si>
  <si>
    <t>COMP75</t>
  </si>
  <si>
    <t>COMP76</t>
  </si>
  <si>
    <t>COMP77</t>
  </si>
  <si>
    <t>FUNDO SELADOR ACRILICO AMBIENTES INTERNOS/EXTERNOS, UMA DEMAO</t>
  </si>
  <si>
    <t>GRANITO AMENDOA POLIDO PARA BANCADA E=2,0 CM, LARGURA 60CM - FORNECIMENTO E INSTALACAO</t>
  </si>
  <si>
    <t>CAIXA DE PASSAGEM EM ALVENARIA TIPO R-1 , PADRÃO TELEBRÁS , DIMENSÕES: 60X35X50CM C/TAMPA</t>
  </si>
  <si>
    <t>ARGILA VERMELHA OU ARGILA ARENOSA</t>
  </si>
  <si>
    <t>TORNEIRA CROMADA CURTA SEM AREJADOR 1/2" OU 3/4" REF 1152 - USO GERAL</t>
  </si>
  <si>
    <t>COMP78</t>
  </si>
  <si>
    <t>LÊIS SOCIAIS CONSIDERADAS - 130,70 % SINAPI AMAZONAS - MÊS BASE FEVEREIRO-2012</t>
  </si>
  <si>
    <t>LAVATORIO/CUBA DE SOBREPOR RETANGULAR 55x30,9CM, LOUCA BRANCA OU EQUIV - C/ LADRAO - PADRAO ALTO</t>
  </si>
  <si>
    <t>MÊS</t>
  </si>
  <si>
    <t>6[MESES]</t>
  </si>
  <si>
    <t>6[MESES] * 2 [VIGIAS]</t>
  </si>
  <si>
    <t>COBOGO DE CONCRETO (ELEMENTO VAZADO), 7X50X50CM, ASSENTADO COM ARGAMASSA TRACO 1:3 (CIMENTO E AREIA)</t>
  </si>
  <si>
    <t>AREA CONSTRUIDA</t>
  </si>
  <si>
    <t>MEMORIAL CALCULO DE ESTACAS</t>
  </si>
  <si>
    <t xml:space="preserve">ESTACA </t>
  </si>
  <si>
    <t xml:space="preserve">QUANT ESTACA </t>
  </si>
  <si>
    <t>PROFUNDIDADE</t>
  </si>
  <si>
    <t>DIAMETRO ESTACA</t>
  </si>
  <si>
    <t>DIAMETRO AÇO</t>
  </si>
  <si>
    <t>COMP</t>
  </si>
  <si>
    <t>PESO</t>
  </si>
  <si>
    <t>TOTAL PROF.</t>
  </si>
  <si>
    <t>KG+10%</t>
  </si>
  <si>
    <t>E2</t>
  </si>
  <si>
    <t>E3</t>
  </si>
  <si>
    <t>E4</t>
  </si>
  <si>
    <t>E5</t>
  </si>
  <si>
    <t>MEDIÇAO: FORMA/CONCRETO/ARMAÇÃO NA FUNDAÇÃO (BLOCOS REGULARES)</t>
  </si>
  <si>
    <t>MEDIÇAO: MOVIMENTO DE TERRA NA FUNDAÇÃO (BLOCOS REGULARES)</t>
  </si>
  <si>
    <t xml:space="preserve">     V.Escav. = (L1+LE1) x (L2+LE2) x (L3+LE3) x Quant.</t>
  </si>
  <si>
    <t xml:space="preserve">     V.Conc. = L1 x L2 x L3 x Quant.</t>
  </si>
  <si>
    <t xml:space="preserve">     A.Apil. = (L1+LE1) x (L2+LE2) x Quant.</t>
  </si>
  <si>
    <t xml:space="preserve">     A.Forma =2 x( L1+L2) x L3 x Quant.</t>
  </si>
  <si>
    <t xml:space="preserve">     V.Reat. = V.Escav. - (V.Conc. + V.Lastro)</t>
  </si>
  <si>
    <t xml:space="preserve">     LE1/LE2/LE3=Dimensão adicional ao L1,L2 E L3,</t>
  </si>
  <si>
    <t xml:space="preserve">     respectivamente para cálculo de escavação</t>
  </si>
  <si>
    <t>BLOCOS</t>
  </si>
  <si>
    <t>LE1</t>
  </si>
  <si>
    <t>LE2</t>
  </si>
  <si>
    <t>LE3</t>
  </si>
  <si>
    <t>VOL. TRANSP.</t>
  </si>
  <si>
    <t>REGULARES</t>
  </si>
  <si>
    <t>(ALT)</t>
  </si>
  <si>
    <t>ESCAV.</t>
  </si>
  <si>
    <t>APIL.</t>
  </si>
  <si>
    <t>LASTRO</t>
  </si>
  <si>
    <t>REATERRO</t>
  </si>
  <si>
    <t>TERRA EXC.</t>
  </si>
  <si>
    <t>B47</t>
  </si>
  <si>
    <t>TOTAL + 10%</t>
  </si>
  <si>
    <t>SBD S/C LTDA</t>
  </si>
  <si>
    <t>FORNECIMENTO, MONTAGEM DE RACK TIPO PEDESTAL, PADRÃO 19"</t>
  </si>
  <si>
    <t>Metro linear de Estaca Raiz executada em solo, Ø de 20 cm, exclusive materiais</t>
  </si>
  <si>
    <t>1.8</t>
  </si>
  <si>
    <t>1.9</t>
  </si>
  <si>
    <t>6.2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</si>
  <si>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</si>
  <si>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</si>
  <si>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</si>
  <si>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</si>
  <si>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</si>
  <si>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</si>
  <si>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</si>
  <si>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</si>
  <si>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</si>
  <si>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</si>
  <si>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</si>
  <si>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</si>
  <si>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</si>
  <si>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</si>
  <si>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7.1.15</t>
  </si>
  <si>
    <t>7.1.16</t>
  </si>
  <si>
    <t>7.1.17</t>
  </si>
  <si>
    <t>7.1.18</t>
  </si>
  <si>
    <t>7.1.19</t>
  </si>
  <si>
    <t>7.1.20</t>
  </si>
  <si>
    <t>7.1.21</t>
  </si>
  <si>
    <t>7.1.22</t>
  </si>
  <si>
    <t>7.1.23</t>
  </si>
  <si>
    <t>7.1.24</t>
  </si>
  <si>
    <t>7.1.25</t>
  </si>
  <si>
    <t>7.1.26</t>
  </si>
  <si>
    <t>7.1.27</t>
  </si>
  <si>
    <t>7.1.28</t>
  </si>
  <si>
    <t>7.1.29</t>
  </si>
  <si>
    <t>7.1.30</t>
  </si>
  <si>
    <t>7.1.31</t>
  </si>
  <si>
    <t>7.1.32</t>
  </si>
  <si>
    <t>7.1.33</t>
  </si>
  <si>
    <t>7.1.34</t>
  </si>
  <si>
    <t>7.1.35</t>
  </si>
  <si>
    <t>7.1.36</t>
  </si>
  <si>
    <t>7.1.37</t>
  </si>
  <si>
    <t>7.1.38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</si>
  <si>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</si>
  <si>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</si>
  <si>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</si>
  <si>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</si>
  <si>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</si>
  <si>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</si>
  <si>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</si>
  <si>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</si>
  <si>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7.2.10</t>
  </si>
  <si>
    <t>7.2.11</t>
  </si>
  <si>
    <t>7.2.12</t>
  </si>
  <si>
    <t>7.2.13</t>
  </si>
  <si>
    <t>7.2.14</t>
  </si>
  <si>
    <t>7.2.15</t>
  </si>
  <si>
    <t>7.2.16</t>
  </si>
  <si>
    <t>7.2.17</t>
  </si>
  <si>
    <t>7.2.18</t>
  </si>
  <si>
    <t>7.2.20</t>
  </si>
  <si>
    <t>7.2.21</t>
  </si>
  <si>
    <t>9.4</t>
  </si>
  <si>
    <t>10.1.1</t>
  </si>
  <si>
    <t>10.1.2</t>
  </si>
  <si>
    <t>10.1.3</t>
  </si>
  <si>
    <t>10.1.4</t>
  </si>
  <si>
    <t>10.2.1</t>
  </si>
  <si>
    <t>10.2.2</t>
  </si>
  <si>
    <t>10.2.3</t>
  </si>
  <si>
    <t>10.2.4</t>
  </si>
  <si>
    <t>10.2.5</t>
  </si>
  <si>
    <t>10.2.6</t>
  </si>
  <si>
    <t>10.2.7</t>
  </si>
  <si>
    <t>FORROS</t>
  </si>
  <si>
    <t>AR CONDICIONADO</t>
  </si>
  <si>
    <t>AREA DE JANELAS</t>
  </si>
  <si>
    <t>1,5[L]*0,90[H]*2[QTD]+1,8[L]*0,90[H]*2[QTD]+2,50[L]*0,90[H]*2[QTD]+ 0,70[L]*0,90[H]*2[QTD]</t>
  </si>
  <si>
    <t>MEMORIAL DE CALCULO DE ALVENARIA*2</t>
  </si>
  <si>
    <t>MEMORIAL DE CALCULO DE REVESTIMENTO</t>
  </si>
  <si>
    <t>VIGA BALD</t>
  </si>
  <si>
    <t>LAJE ARQ</t>
  </si>
  <si>
    <t>PISO EM CONCRETO PARA QUADRAS POLIESPORTIVAS, CONCRETO PREPARO MECANICO 20MPA, ESPESSURA 10CM, INCLUSO POLIMENTO E JUNTAS EM POLIURETANO 2X2M C/ ARMAÇÃO EM TELA SOLDADA</t>
  </si>
  <si>
    <t>MAQUINA DE CORTAR ASFALTO/CONCRETO A GASOLINA POT * 10HP * C/ DISCO * ATE 20" * TIPO CLIPPER</t>
  </si>
  <si>
    <t>TELA ACO SOLDADA NERVURADA CA - 60, Q-92 (1,48 KG/M2), DIÂMETRO DO FIO = 4,2 MM, LARGURA =2,45 X 60METROS DE COMPRIMENTO, ESPAÇAMENTO DA MALHA = 15X15CM CMS</t>
  </si>
  <si>
    <t>VIBRADOR DE IMERSAO C/ MOTOR ELETRICO TRIFASICO ACIMA DE 2HP QUALQUER DIAM C/ MANGOTE</t>
  </si>
  <si>
    <t>PISO EM CONCRETO DESEMPENADO PARA QUADRAS POLIESPORTIVAS PREPARO MECANICO, ESPESSURA 7CM, INCLUSO JUNTAS DE DILATACAO E LASTRO IMPERMEABILIZ</t>
  </si>
  <si>
    <t>EMULSAO ASFALTICA, TIPO NEOSIN A BASE DE AGUA P/ IMPERM</t>
  </si>
  <si>
    <t>PECA DE MADEIRA 1A QUALIDADE 1 X 5CM NAO APARELHADA</t>
  </si>
  <si>
    <t>PEDRA BRITADA N. 0 PEDRISCO OU CASCALHINHO POSTO PEDREIRA (SEM FRETE)</t>
  </si>
  <si>
    <t>PEDRA BRITADA N. 1 OU 19 MM POSTO PEDREIRA (SEM FRETE)</t>
  </si>
  <si>
    <t>CARPINTEIRO DE FORMAS</t>
  </si>
  <si>
    <t>CONJUNTO DE TRAVES PARA FUTSAL PINTADAS, INCLUSO REDE</t>
  </si>
  <si>
    <t>CONJUNTO P/FUTSAL (TRAVES FOGO 300X200 REDES 4MM</t>
  </si>
  <si>
    <t>18.3</t>
  </si>
  <si>
    <t>CONJUNTO P/VOLEI(POSTES FOGO H=255 REDE NYLON 2 MM</t>
  </si>
  <si>
    <t>TUBO COBRE CLASSE "E" DN 22 MM</t>
  </si>
  <si>
    <t>TUBO COBRE CLASSE "E" DN 42 MM</t>
  </si>
  <si>
    <t>AR CONDICIONADO SPLIT 24000BTUS - FORNECIMENTO E INSTALAÇÃO</t>
  </si>
  <si>
    <t>AR CONDICIONADO SPLIT 30000BTUS - FORNECIMENTO E INSTALAÇÃO</t>
  </si>
  <si>
    <t>AR CONDICIONADO SPLIT 36000BTUS - FORNECIMENTO E INSTALAÇÃO</t>
  </si>
  <si>
    <t>9.5</t>
  </si>
  <si>
    <t>LONA PLASTICA PRETA, ESPESSURA 150 MICRAS - FORNECIMENTO E COLOCAÇÃO</t>
  </si>
  <si>
    <t>LONA PLASTICA PRETA, ESPESSURA 150 MICRAS</t>
  </si>
  <si>
    <t>AREA DO PISO DA QUADRA</t>
  </si>
  <si>
    <t>CONJ</t>
  </si>
  <si>
    <t>7.1.39</t>
  </si>
  <si>
    <t>7.1.42</t>
  </si>
  <si>
    <t>7.1.43</t>
  </si>
  <si>
    <t>74043_2</t>
  </si>
  <si>
    <t xml:space="preserve">CONDULETE PVC TIPO LL 3/4 SEM TAMPA, FORNECIMENTO E INSTALACAO
</t>
  </si>
  <si>
    <t>CONDULETE PVC TIPO "LL" D = 3/4" S/TAMPA"</t>
  </si>
  <si>
    <t>7.1.44</t>
  </si>
  <si>
    <t xml:space="preserve">ELETRODUTO DE PVC RIGIDO ROSCAVEL 25MM C/ LUVA (1"), FORNECIMENTO E INSTALACAO
</t>
  </si>
  <si>
    <t>ELETRODUTO DE PVC ROSCÁVEL DE 1" (25 MM), SEM LUVA</t>
  </si>
  <si>
    <t>LUVA PVC ROSCAVEL P/ ELETRODUTO 1"</t>
  </si>
  <si>
    <t>7.1.45</t>
  </si>
  <si>
    <t xml:space="preserve">ELETRODUTO DE PVC RIGIDO ROSCAVEL 50MM C/ LUVA (2"), FORNECIMENTO E INSTALACAO
</t>
  </si>
  <si>
    <t>ELETRODUTO DE PVC ROSCÁVEL DE 2" (50 MM), SEM LUVA</t>
  </si>
  <si>
    <t>LUVA PVC ROSCAVEL P/ ELETRODUTO 2''</t>
  </si>
  <si>
    <t>7.1.46</t>
  </si>
  <si>
    <t>PONTO LUZ PAREDE (ARANDELA)</t>
  </si>
  <si>
    <t>ARANDELA 45 GRAUS PROVA DE TEMPO, GASES E VAPORES</t>
  </si>
  <si>
    <t>7.1.47</t>
  </si>
  <si>
    <t>74247_1</t>
  </si>
  <si>
    <t>QUADRO DE DISTRIBUICAO DE ENERGIA EM CHAPA METALICA, DE EMBUTIR, PARA 12 DISJUNTORES TERMOMAGNETICOS MONOPOLARES, COM BARRAMENTO TRIFASICO, FORNECIMENTO E INSTALACAO</t>
  </si>
  <si>
    <t>BUCHA E ARRUELA ALUMINIO FUNDIDO P/ ELETRODUTO 32MM (1 1/4'')</t>
  </si>
  <si>
    <t>BUCHA E ARRUELA ALUMINIO FUNDIDO P/ ELETRODUTO 40MM (1 1/2'')</t>
  </si>
  <si>
    <t>QUADRO DE DISTRIBUICAO DE EMBUTIR C/ BARRAMENTO TRIFASICO P/ 12 DISJUNTORES UNIPOLARES EM CHAPA DE ACO GALV</t>
  </si>
  <si>
    <t>BUCHA NYLON S-8 C/ PARAFUSO ACO ZINC CAB CHATA ROSCA SOBERBA 4,8 X 50MM</t>
  </si>
  <si>
    <t>7.1.48</t>
  </si>
  <si>
    <t>RELÉ INDIVIDUAL FOTOELETRÔNICO 5A, 220V, 1800VA-1000W-60HZ</t>
  </si>
  <si>
    <t>RELE FOTOELETRICO 1000W/220V</t>
  </si>
  <si>
    <t>TUBO PVC ESGOTO DN 250MM C/ ANEL DE BORRACHA - FORNECIMENTO E INSTALACAO</t>
  </si>
  <si>
    <t>TUBO PVC EB-644 P/ REDE COLET ESG JE DN 250MM</t>
  </si>
  <si>
    <t>ANEL BORRACHA P/ TUBO SERIE R DN 150MM</t>
  </si>
  <si>
    <t>GRELHA DE FERRO CHATO COM BERÇO</t>
  </si>
  <si>
    <t>BARRA FERRO RETANGULAR CHATA QUALQUER BITOLA X E = 1/8"</t>
  </si>
  <si>
    <t>CANALETA CONCRETO DESEMPENADO 5 CM</t>
  </si>
  <si>
    <t>PEDRA BRITADA N. 2 OU 25 MM POSTO PEDREIRA (SEM FRETE)</t>
  </si>
  <si>
    <t>CABO DE COBRE FLEXÍVEL 16,0MM²  ISOLAÇÃO COMPOSTO TERMOPLÁSTICO 750V. NA COR PRETO.</t>
  </si>
  <si>
    <t>7.1.40</t>
  </si>
  <si>
    <t>CABO DE COBRE FLEXÍVEL 16,0MM²  ISOLAÇÃO COMPOSTO TERMOPLÁSTICO 750V. NA CORAZUL CLARO.</t>
  </si>
  <si>
    <t>7.1.41</t>
  </si>
  <si>
    <t>CABO DE COBRE FLEXÍVEL 16,0MM²  ISOLAÇÃO COMPOSTO TERMOPLÁSTICO 750V. NA COR VERDE.</t>
  </si>
  <si>
    <t>CONDULETE PVC TIPO LL 3/4 SEM TAMPA, FORNECIMENTO E INSTALACAO</t>
  </si>
  <si>
    <t>ELETRODUTO DE PVC RIGIDO ROSCAVEL 25MM C/ LUVA (1"), FORNECIMENTO E INSTALACAO</t>
  </si>
  <si>
    <t>ELETRODUTO DE PVC RIGIDO ROSCAVEL 50MM C/ LUVA (2"), FORNECIMENTO E INSTALACAO</t>
  </si>
  <si>
    <t>IMPLANTAÇÃO ÁGUA PLUVIAL</t>
  </si>
  <si>
    <t>TUBO PVC ESGOTO SERIE R DN 250MM C/ ANEL DE BORRACHA - FORNECIMENTO E INSTALACAO</t>
  </si>
  <si>
    <t>63,34*2 [LADOS]*0,50[LARG] CONFORME PROJETO</t>
  </si>
  <si>
    <t>ML</t>
  </si>
  <si>
    <t>63,34*2 [LADOS] CONFORME PROJETO</t>
  </si>
  <si>
    <t>73860_12</t>
  </si>
  <si>
    <t>COMP83</t>
  </si>
  <si>
    <t>COMP84</t>
  </si>
  <si>
    <t>COMP85</t>
  </si>
  <si>
    <t>COMP87</t>
  </si>
  <si>
    <t>COMP88</t>
  </si>
  <si>
    <t>COMP93</t>
  </si>
  <si>
    <t>ASSENTO PLASTICO P/ ARQUIBANCADA S/ ENCOSTO - FORN E INSTALAÇÃO</t>
  </si>
  <si>
    <t>ASSENTO PLATICO S/ ENCOSTO</t>
  </si>
  <si>
    <t>ASSENTO PLASTICO P/ ARQUIBANCADA S/ ENCOSTO</t>
  </si>
  <si>
    <t>COMP94</t>
  </si>
  <si>
    <t>TINTA BASE RESINA EPOXI TP COBERIT EPOXY OTTO BAUMGART OU MARCA EQUIVALENTE</t>
  </si>
  <si>
    <t>CONFORME PROJETO INCENDIO E IDENTIFICAÇÃO SALAS</t>
  </si>
  <si>
    <t>EQUIPAMENTOS</t>
  </si>
  <si>
    <t>BDI (10%)</t>
  </si>
  <si>
    <t>B15-B66</t>
  </si>
  <si>
    <t>B16-B62</t>
  </si>
  <si>
    <t>BA1-BA2</t>
  </si>
  <si>
    <t>B34-B46</t>
  </si>
  <si>
    <t>B1-B80</t>
  </si>
  <si>
    <t>ACO CA 50-A - 25,0 MM - (OBRAS CIVIS)</t>
  </si>
  <si>
    <t>PILARES</t>
  </si>
  <si>
    <t>VP</t>
  </si>
  <si>
    <t>VPA/VR</t>
  </si>
  <si>
    <t>VC</t>
  </si>
  <si>
    <t>LAJE</t>
  </si>
  <si>
    <t>ESCADA</t>
  </si>
  <si>
    <t>4.2 M</t>
  </si>
  <si>
    <t>5.0M</t>
  </si>
  <si>
    <t>6.3 M</t>
  </si>
  <si>
    <t>8.0 M</t>
  </si>
  <si>
    <t>10.0 M</t>
  </si>
  <si>
    <t>12.5 M</t>
  </si>
  <si>
    <t>16.0 M</t>
  </si>
  <si>
    <t>20.0 M</t>
  </si>
  <si>
    <t>25.0 M</t>
  </si>
  <si>
    <t>VASO SANITARIO LOUCA BRANCA CAIXA DESCARGA ACOPLADA 35X65X35CM INCL ASSENTO PLASTICO E RABICHO CROMADO EXCL COLOCACAO.</t>
  </si>
  <si>
    <t>VASO SANITARIO SIFONADO C/CAIXA ACOPLADA LOUCA BRANCA - PADRAO MEDIO</t>
  </si>
  <si>
    <t>PARAFUSO NIQUELADO P/ FIXAR PECA SANITARIA - INCL PORCA CEGA, ARRUELA E BUCHA NYLON S-10</t>
  </si>
  <si>
    <t>ASSENTO PARA VASO SANITARIO DE PLASTICO PADRAO POPULAR - FORNECIMENTO E INSTALACAO</t>
  </si>
  <si>
    <t>TAMPO PLASTICO STANDARD P/ VASO SANITARIO</t>
  </si>
  <si>
    <t>LIGACAO FLEXIVEL P/LAVATORIO PLASTICO DIAM.1/2"</t>
  </si>
  <si>
    <t>CHUVEIRO ELETRICO COMUM PLASTICO TP DUCHA 110/220V</t>
  </si>
  <si>
    <t>FITA VEDA ROSCA EM ROLOS 18MMX50M</t>
  </si>
  <si>
    <t>BUCHA REDUCAO DE PVC SOLDAVEL CURTA AGUA FRIA 85X75MM - FORNECIMENTO E INSTALACAO</t>
  </si>
  <si>
    <t>BUCHA REDUCAO PVC SOLD CURTA P/ AGUA FRIA PRED 85MM X 75MM</t>
  </si>
  <si>
    <t>COMP97</t>
  </si>
  <si>
    <t>TE REDUCAO PVC PBA NBR 10351 P/ REDE AGUA BBB JE DE 110 X 85MM</t>
  </si>
  <si>
    <t>TE REDUCAO PVC PBA NBR 10351 P/ REDE AGUA BBB JE DN 100 X 75 /DE 110 X 85MM</t>
  </si>
  <si>
    <t>JOELHO REDUCAO 90 GRAUS SOLD./ROSCA 25 X 1/2"</t>
  </si>
  <si>
    <t>JOELHO PVC SOLD/ROSCA 90G P/AGUA FRIA PRED 20MM X 1/2"</t>
  </si>
  <si>
    <t>LUVA PVC SOLDAVEL / ROSCA P/AGUA FRIA PREDIAL 25MM X 3/4"</t>
  </si>
  <si>
    <t>LIGACAO FLEXIVEL P/LAVATORIO PLASTICO</t>
  </si>
  <si>
    <t>(2[ALTURA]*4[LARGURA])*1[UND]+1,50[LARG]*2,50[ALT]</t>
  </si>
  <si>
    <t>REATERRO APILOADO EM CAMADAS</t>
  </si>
  <si>
    <t>14.4</t>
  </si>
  <si>
    <t>TECNICO DE SEGURANÇA</t>
  </si>
  <si>
    <t>TECNICO DE SEGURANÇA (SEIS HORAS DIÁRIAS)</t>
  </si>
  <si>
    <t>ELEVADOR</t>
  </si>
  <si>
    <t xml:space="preserve">CONJUNTO DE TABELAS DE BASQUETE </t>
  </si>
  <si>
    <t>EMBOCO PAULISTA (MASSA UNICA) TRACO 1:2:8 (CIMENTO, CAL E AREIA), ESPESSURA 2,0CM, PREPARO MECANICO</t>
  </si>
  <si>
    <t>ARGAMASSA TRACO 1:2:8 (CIMENTO, CAL E AREIA MEDIA NAO PENEIRADA), PREPARO MECANICO</t>
  </si>
  <si>
    <t>PRIMER UNIVERSAL-FUNDO ANTICORROSIVO TP ZARCAO</t>
  </si>
  <si>
    <t>PORTA DE ABRIR EM ALUMINIO TIPO VENEZIANA, PERFIL SERIE 25, COM GUARNIÇÕES</t>
  </si>
  <si>
    <t>PORTA DE ABRIR EM ALUMINIO TIPO VENEZIANA, PERFIL SERIE 25, COM GUARNICOES</t>
  </si>
  <si>
    <t>PORTA ALUMINIO ABRIR, PERFIL SERIE 25, TP VENEZIANA C/ GUARNICAO 87 X 210CM</t>
  </si>
  <si>
    <t>J5</t>
  </si>
  <si>
    <t>J6</t>
  </si>
  <si>
    <t>J7</t>
  </si>
  <si>
    <t>J14</t>
  </si>
  <si>
    <t>J12</t>
  </si>
  <si>
    <t>Sls multiuso2/slmultiuso3/lateral</t>
  </si>
  <si>
    <t>J8</t>
  </si>
  <si>
    <t>J9</t>
  </si>
  <si>
    <t>J11</t>
  </si>
  <si>
    <t>J10</t>
  </si>
  <si>
    <t>J13</t>
  </si>
  <si>
    <t>(38,33[L]*63,34[C]QUADRA+4,82*25,6[FRENTEMAIOR])+ 35,01M2[MEIALUAENTRADA]</t>
  </si>
  <si>
    <t>AR CONDICIONADO SPLIT 24000BTUS -FORNECIMENTO E INSTALAÇÃO</t>
  </si>
  <si>
    <t>AR CONDICIONADO SPLIT 30000BTUS -FORNECIMENTO E INSTALAÇÃO</t>
  </si>
  <si>
    <t>AR CONDICIONADO SPLIT 36000BTUS -FORNECIMENTO E INSTALAÇÃO</t>
  </si>
  <si>
    <t>CONJUNTO DE TABELAS DE BASQUETE LIFETIME</t>
  </si>
  <si>
    <t xml:space="preserve">SUB TOTAL </t>
  </si>
  <si>
    <t>DIVISORIA 35MM PAINEL CEGO MIOLO COLMEIA REVESTIDA C/CHAPA LAMINADA</t>
  </si>
  <si>
    <t>DIVISORIA EM GRANITO CINZA, ESP=2CM, POLIDO DUAS FACES,</t>
  </si>
  <si>
    <t>DOBRADICA EM LATAO CROMADO 3X3", SEM, ANEIS</t>
  </si>
  <si>
    <t>JANELA DE ALUMINIO, TIPO CORRER OU MAXIMAR, CONVENCIONAL</t>
  </si>
  <si>
    <t>VASO SANITARIO COM CAIXA DE DESCARGA ACOPLADA - LOUCA BRANCA</t>
  </si>
  <si>
    <t>LIGAÇÃO FLEXÍVEL CROMADO P/ LAVATÓRIO DIÂMETRO 1/2`</t>
  </si>
  <si>
    <t>SIFAO EM METAL CROMADO 1"X1.1/2" - FORNECIMENTO E INSTALACAO</t>
  </si>
  <si>
    <t>VALVULA P/LAVATORIO OU BEBEDOURO METALICO DIAMETRO 1'' FORNECIMENTO E INSTALA</t>
  </si>
  <si>
    <t>MICTORIO SIFONADO DE LOUCA BRANCA COM PERTENCES, COM REGISTRO DE PRESSAO 1/2" COM CANOPLA CROMADA ACABAMENTO SIMPLES E CONJUNTO PARA FIXACAO</t>
  </si>
  <si>
    <t>REGULARIZACAO DE PISO/BASE EM ARGAMASSA TRACO 1:0,5:5 (CIMENTO, CAL EAREIA), ESPESSURA 2,5CM, PREPARO MECANICO</t>
  </si>
  <si>
    <t>PROTECAO MECANICA COM ARGAMASSA TRACO 1:3 (CIMENTO E AREIA), ESPESSURA 2CM</t>
  </si>
  <si>
    <t>IMPERMEABILIZACAO COM CIMENTO CRISTALIZANTE COM EMULSAO ADESIVA PARA E</t>
  </si>
  <si>
    <t>CHAPISCO EM PAREDES TRACO 1:4 (CIMENTO E AREIA), ESPESSURA 0,5CM, PREPARO MECANICO</t>
  </si>
  <si>
    <t>EMBOCO TRACO 1:2:11(CIMENTO, CAL E AREIA), ESPESSURA 2,0CM, PREPARO ME</t>
  </si>
  <si>
    <t>EMBOCO PAULISTA (MASSA UNICA) TRACO 1:2:8(CIMENTO, CAL E AREIA), ESPESSURA 2,0CM, PREPARO MECANICO</t>
  </si>
  <si>
    <t>PORCELANATO POLIDO 30 X 30 CM</t>
  </si>
  <si>
    <t>CHAPISCO EM TETOS TRACO 1:3 (CIMENTO E AREIA), ESPESSURA 0,5CM, PREPARO MECANICO</t>
  </si>
  <si>
    <t>EMBOCO EM TETOS TRACO 1:4 (CAL E AREIA MEDIA), ESPESSURA 1,5CM, PREPAR</t>
  </si>
  <si>
    <t>LASTRO DE CONCRETO TRACO 1:3:5, ESPESSURA 3CM, PREPARO MECANICO, INCLUSO ADITIVO IMPERMEABILIZANTE</t>
  </si>
  <si>
    <t xml:space="preserve">EMBOCO EM TETOS TRACO 1:4 (CAL E AREIA MEDIA), ESPESSURA 1,5CM, PREPARO MANUAL
</t>
  </si>
  <si>
    <t>ARGAMASSA TRACO 1:4,5 (CAL E AREIA MEDIA NAO PENEIRADA), PREPARO MANUAL</t>
  </si>
  <si>
    <t>DIVISORIA EM GRANITO BRANCO ESP=3CM COM DUAS FACES POLIDAS LEVIGADO</t>
  </si>
  <si>
    <t>TUBO ACO PRETO SEM COSTURA SCHEDULE 40/NBR 5590 DN INT 1/4" E = 2,24MM - 0,63KG/M</t>
  </si>
  <si>
    <t>PLACA ACRILICO P/IDENTIFICACAO 25 X 15CM E=4MM</t>
  </si>
  <si>
    <t>GRANITO AMENDOA POLIDO  ESP = 2 CM</t>
  </si>
  <si>
    <t xml:space="preserve">PORTICO </t>
  </si>
  <si>
    <t>area total</t>
  </si>
  <si>
    <t>peitoril</t>
  </si>
  <si>
    <t>73,22[MEMORIAL DE ALVENARIA]*0,25[L]</t>
  </si>
  <si>
    <t>GUARDA CORPO EM VIDRO TEMPERADO ESP=10MM INCLUSIVE INST.</t>
  </si>
  <si>
    <t>(0,99*2+12,11)[C]*1,1[ALT]*2[LADOS]</t>
  </si>
  <si>
    <t>PAINEL FIXO VIDRO TEMPERADO INCOLOR E = 10 MM, SEM COLOCAÇÃO</t>
  </si>
  <si>
    <t>CANALETA ALUMINIO 1 X 1CM P/ PORTA /JANELA CORRER</t>
  </si>
  <si>
    <t>BAGUETE DE BORRACHA P/ JANELA 1,5 X 1,0CM</t>
  </si>
  <si>
    <t>COMP86</t>
  </si>
  <si>
    <t>COBERTURA C/ TELHA METÁLICA ONDULADA COM LÃ DE VIDRO</t>
  </si>
  <si>
    <t>COBERTURA COM TELHA TERMOACÚSTICA , PERFIL ONDULADO C/ LA DE VIDRO, ACESSORIOS</t>
  </si>
  <si>
    <t>PLACA DE ALUMINIO COMPOSTO</t>
  </si>
  <si>
    <t>PLACAS DE ALUMINIO COMPOSTO</t>
  </si>
  <si>
    <t>18,78[C]*0,60[ALT]</t>
  </si>
  <si>
    <t>PLACA DE ALUCOBOND CINZA PRATA</t>
  </si>
  <si>
    <t>MONTADOR</t>
  </si>
  <si>
    <t>EMASSAMENTO COM MASSA ACRILICA PARA AMBIENTES INTERNOS/EXTERNO, DUAS DEMAOS</t>
  </si>
  <si>
    <t>EMASSAMENTO COM MASSA ACRILICA PARA AMBIENTES INTERNOS/EXTERNOS, DUAS DEMAOS</t>
  </si>
  <si>
    <t>MASSA ACRILICA P/ PAREDES INTERIOR/EXTERIOR</t>
  </si>
  <si>
    <t>PISO EM CERAMICA ESMALTADA 1A PEI-V, PADRAO MEDIO, ASSENTADA COM ARGAMASSA DE CIMENTO E AREIA</t>
  </si>
  <si>
    <t>PISO EM CERAMICA ESMALTADA 1A PEI-V, PADRAO MEDIO, ASSENTADA COM ARGAMASSA DE CIMENTO E AREIA PREPARO MANUAL, REJUNTE C/ CIMENTO BRANCO</t>
  </si>
  <si>
    <t>CERAMICA ESMALTADA EXTRA OU 1A QUALIDADE P/ PISO PEI-5 - LINHA PADRAO MEDIO</t>
  </si>
  <si>
    <t>BOMBA INCENDIO FORNECIMENTO E INSTALAÇÃO</t>
  </si>
  <si>
    <t>BOMBA CENTRIFUGA C/ MOTOR ELETRICO TRIFASICO 1CV BOCAIS 1" X 1 " DANCOR SERIE CAM MOD. 250, HM /Q =14M / 7,1M3 /H A 34M / 5M3 / H**CAIXA**"</t>
  </si>
  <si>
    <t>INSTALACAO DE CONJ.MOTO BOMBA HORIZONTAL ATE 10 CV</t>
  </si>
  <si>
    <t>CONJUNTO DE TRAVES PARA FUTSAL PINTADAS, INCLUSO REDE E ARO, TAMANHO OFICIAL.</t>
  </si>
  <si>
    <t>BEBEDOUROS ELÉTRICOS BELLIERE OU EQUIVALENTE</t>
  </si>
  <si>
    <t>CONJUNTO DE TABELAS DE BASQUETE PORTÁTIL TAMANHO OFICIAL, LIFETIME OU EQUIVALENTE, COM TABELA, BRAÇOS DE EXTENÇÃO, ARO, REDE E MEC. DE AJUSTE.</t>
  </si>
  <si>
    <t>CONJUNTO P/VOLEI(POSTES FOGO H=255 REDE NYLON 2 MM) TAMANHO OFICIAL COM REDE, POSTE, CABO DE AÇO, PORTA ANTENAS OFICIAL, QUADRO ESTRUTURAL DE CORDA, GUIA P/ PASSAGEM DO CABO DE AÇO, ESTICADORES E GANCHO.</t>
  </si>
  <si>
    <t>ELEVADOR PNE, PARA 1 CADEIRANTES, MONTELE PL 240, OU EQUIVALENTE</t>
  </si>
  <si>
    <t>SOLEIRA GRANITO 15 X 3CM</t>
  </si>
  <si>
    <t>2583,20 [MEMORIAL DE CALCULO DE REVESTIMENTO]+316,86 FORRO REBOCADO</t>
  </si>
  <si>
    <t>2583,20 [MEMORIAL DE CALCULO DE REVESTIMENTO]+162,38 [ARQUIBANCADA]+316,86 FORRO REBOCADO</t>
  </si>
  <si>
    <t>LUMINARIA TIPO CALHA, DE SOBREPOR, COM REATOR DE PARTIDA RAPIDA E LAMPADA FLUORESCENTE 2X28W, COMPLETA, FORNECIMENTO E INSTALACAO</t>
  </si>
  <si>
    <t>GRADIL EM TUBO DE ACO GALVANIZADO 1 1/2"</t>
  </si>
  <si>
    <t>COMP106</t>
  </si>
  <si>
    <t>6.5</t>
  </si>
  <si>
    <t>COBERTURA COM ONDULADA TRANSLUCIDA</t>
  </si>
  <si>
    <t>TELHA NATURAL TRANSLUCIDA 244X110CM</t>
  </si>
  <si>
    <t>COMP109</t>
  </si>
  <si>
    <t>DISJUNTOR TERMOMAGNETICO BIPOLAR 25A</t>
  </si>
  <si>
    <t>DISJUNTOR TERMOMAGNETICO BIPOLAR 10A</t>
  </si>
  <si>
    <t>COMP107</t>
  </si>
  <si>
    <t>DISJUNTOR TERMOMAGNETICO BIPOLAR 16A</t>
  </si>
  <si>
    <t>COMP108</t>
  </si>
  <si>
    <t>DISJUNTOR TERMOMAGNETICO BIPOLAR 40A</t>
  </si>
  <si>
    <t>LASTRO DE BRITA 0 E 1</t>
  </si>
  <si>
    <t>LASTRO DE BRITA 1 e 0</t>
  </si>
  <si>
    <t>PEDRA BRITADA N. 0</t>
  </si>
  <si>
    <t>MOVIMENTO DE TERRA</t>
  </si>
  <si>
    <t>ATERRO</t>
  </si>
  <si>
    <t>CORTE</t>
  </si>
  <si>
    <t>IMPLANTAÇÃO</t>
  </si>
  <si>
    <t>COMPACTAÇÃO MECÂNICA C/ CONTROLE GC&gt;= 95% DO P.N. (AREAS) (C/MONIVELADORA 140 HP E ROLO COMPRESSOR VIBRATORIO 80 HP)</t>
  </si>
  <si>
    <t>BEBEDOUROS ELÉTRICOS PARA PNE IBBL BDF-300 OU EQUIVALENTE</t>
  </si>
  <si>
    <t>BEBEDOURO ELÉTRICO PNE IBBL BDF-300 OU EQUIVALENTE</t>
  </si>
  <si>
    <t>CAMINHAO BASCULANTE, 6M3,12T - 162HP (VU=5ANOS) - CHP DIURNO</t>
  </si>
  <si>
    <t>ESCAVADEIRA KOMATSU PC 150 SE 103 HP - CHP DIURNO</t>
  </si>
  <si>
    <t>ARGILA VERMELHA OU ARENOSA - RETIRADA NA JAZIDA-SEM TRANSPORTE</t>
  </si>
  <si>
    <t>COMPACTACAO MECANICA C/ CONTROLE DO GC&gt;=95% DO PN (AREAS) (C/MONIVELADORA 140 HP E ROLO COMPRESSOR VIBRATORIO 80 HP)</t>
  </si>
  <si>
    <t>CAMINHAO PIPA 6.000L C/ BARRA ESPARGIDORA (INCL MANUTENCAO/OPERACAO)</t>
  </si>
  <si>
    <t>TRATOR DE PNEUS ATE 75HP (INCL MANUT/OPERACAO)</t>
  </si>
  <si>
    <t>GRADE DE DISCO 20 X 24"</t>
  </si>
  <si>
    <t>MOTONIVELADORA 140 A 155HP (INCL MANUT/OPERACAO)</t>
  </si>
  <si>
    <t>ROLO COMPACTADOR VIBRATORIO LISO AUTOPROPELIDO 83HP, FORCA IMPACTO 11T</t>
  </si>
  <si>
    <t>ROLO COMPACTADOR VIBRATORIO PE DE CARNEIRO AUTOPROPELIDO 83HP, FORCA I</t>
  </si>
  <si>
    <t>TRATOR DE ESTEIRAS COM LAMINA-POTENCIA 308HP-PESO OPERACIONAL 37T(VU=10ANOS)-CHP DIURNO</t>
  </si>
  <si>
    <t>MOBILIZAÇÃO / DESMOBILIZAÇÃO DA OBRA</t>
  </si>
  <si>
    <t>Codigo</t>
  </si>
  <si>
    <t>Descrição</t>
  </si>
  <si>
    <t>Preço</t>
  </si>
  <si>
    <t>CIMENTO PORTLAND CP-32</t>
  </si>
  <si>
    <t>73836/001</t>
  </si>
  <si>
    <t>LOCAÇÃO DE ANDAIME METÁLICO TIPO FACHADEIRO</t>
  </si>
  <si>
    <t>PROTECAO DE FACHADA COM TELA DE POLIPROPILENO FIXADA EM ESTRUTURA DE MADEIRA COM ARAME GALVANIZADO INCLUSIVE ANDAIME</t>
  </si>
  <si>
    <t>PROTECAO DE FACHADA COM TELA DE POLIPROPILENO FIXADA EM ESTRUTURA DE MADEIRA COM ARAME GALV. INCLUSIVE ANDAIME</t>
  </si>
  <si>
    <t>QNT</t>
  </si>
  <si>
    <t>HORA SERVIÇO</t>
  </si>
  <si>
    <t xml:space="preserve">QNT DIAS </t>
  </si>
  <si>
    <t>HORA/DIA</t>
  </si>
  <si>
    <t>Subtotal:</t>
  </si>
  <si>
    <t>QNT PESSOAS</t>
  </si>
  <si>
    <t>CABO DE COBRE FLEXÍVEL 2,5MM²  ISOLAÇÃO COMPOSTO TERMOPLÁSTICO 750V. NA COR AZUL CLARO</t>
  </si>
  <si>
    <t>CABO DE COBRE FLEXÍVEL 2,5MM²  ISOLAÇÃO COMPOSTO TERMOPLÁSTICO 750V. NA COR VERDE</t>
  </si>
  <si>
    <t>CABO DE COBRE FLEXÍVEL 2,5MM²  ISOLAÇÃO COMPOSTO TERMOPLÁSTICO 750V. NA COR VERMELHA</t>
  </si>
  <si>
    <t>CABO DE COBRE FLEXÍVEL 4,0MM²  ISOLAÇÃO COMPOSTO TERMOPLÁSTICO 750V. NA COR VERDE</t>
  </si>
  <si>
    <t>CABO DE COBRE FLEXÍVEL 6,0MM²  ISOLAÇÃO COMPOSTO TERMOPLÁSTICO 750V. NA COR VERDE</t>
  </si>
  <si>
    <t>CABO DE COBRE FLEXÍVEL 16,0MM²  ISOLAÇÃO COMPOSTO TERMOPLÁSTICO 750V. NA CORAZUL CLARO</t>
  </si>
  <si>
    <t>CABO DE COBRE FLEXÍVEL 16,0MM²  ISOLAÇÃO COMPOSTO TERMOPLÁSTICO 750V. NA COR VERDE</t>
  </si>
  <si>
    <t>INSTALAÇAO ELETRICA</t>
  </si>
  <si>
    <t>INCENDIO</t>
  </si>
  <si>
    <t>IMPERMEABILIZAÇAO (3meses)</t>
  </si>
  <si>
    <t>REDE DE INCENDIO</t>
  </si>
  <si>
    <t>ADMINISTRAÇAO DA OBRA</t>
  </si>
  <si>
    <t>PROFISSIONAIS TERCEIRIZADOS</t>
  </si>
  <si>
    <t>HORAS/MESES</t>
  </si>
  <si>
    <t>6MESES</t>
  </si>
  <si>
    <t>INSTALAÇOES ELETRICAS</t>
  </si>
  <si>
    <t>3MESES</t>
  </si>
  <si>
    <t>2MESES</t>
  </si>
  <si>
    <t>1MES</t>
  </si>
  <si>
    <t>LUMINARIA CALHA SOBREPOR EM CHAPA ACO C/ 2 LAMPADAS FLUORESCENTES 40W (COMPLETA, INCL. REATOR PART RAPIDA E LAMPADA)</t>
  </si>
  <si>
    <t>BUCHA E ARRUELA ALUMINIO FUNDIDO P/ ELETRODUTO 50MM (2'')</t>
  </si>
  <si>
    <t>BUCHA E ARRUELA ALUMINIO FUNDIDO P/ ELETRODUTO 100MM (4'')</t>
  </si>
  <si>
    <t>CABO DE COBRE ISOLAMENTO ANTI-CHAMA 0,6/1KV 35MM2 (1 CONDUTOR) TP SINT</t>
  </si>
  <si>
    <t>CABO DE COBRE ISOLAMENTO ANTI-CHAMA 0,6/1KV 70MM2 (1 CONDUTOR) TP SINTENAX PIRELLI OU EQUIV</t>
  </si>
  <si>
    <t>CABO DE COBRE ISOLAMENTO ANTI-CHAMA 0,6/1KV 120MM2 (1 CONDUTOR) TP SINTENAX PIRELLI OU EQUIV</t>
  </si>
  <si>
    <t>CONECTOR PARAFUSO FENDIDO DE BRONZE P/ CABO 70-240MM2</t>
  </si>
  <si>
    <t>CONECTOR PARAFUSO FENDIDO P/ CABO 35MM2</t>
  </si>
  <si>
    <t>CONECTOR PARAFUSO FENDIDO P/ CABO 16MM2</t>
  </si>
  <si>
    <t>CURVA PVC 90G P/ ELETRODUTO ROSCAVEL 2"</t>
  </si>
  <si>
    <t>CURVA PVC 135G 4" P/ ELETRODUTO ROSCAVEL</t>
  </si>
  <si>
    <t>ELETRODUTO 2" TIPO KANALEX OU EQUIV</t>
  </si>
  <si>
    <t>KIT-EMENDA C1 2" P/ DUTOS TIPO KANAFLEX</t>
  </si>
  <si>
    <t>DUTO EM PEAD PRETO CORRUGADO HELICOIDAL (DIÂMETRO DA SEÇÃO: 4 ")</t>
  </si>
  <si>
    <t>BUCHA/ARRUELA ALUMINIO 2"</t>
  </si>
  <si>
    <t>BUCHA/ARRUELA ALUMINIO 4"</t>
  </si>
  <si>
    <t>CABO DE COBRE ISOLAMENTO ANTI-CHAMA 0,6/1KV 35MM2</t>
  </si>
  <si>
    <t>CABO DE COBRE ISOLAMENTO ANTI-CHAMA 0,6/1KV 70MM2</t>
  </si>
  <si>
    <t>CABO DE COBRE ISOLAMENTO ANTI-CHAMA 0,6/1KV 120MM2</t>
  </si>
  <si>
    <t>CONECTOR TIPO PARAFUSO FENDIDO 35 MM2</t>
  </si>
  <si>
    <t>CONECTOR TIPO PARAFUSO FENDIDO 16 MM2</t>
  </si>
  <si>
    <t>CURVA DE 90 GRAUS DE PVC RIGIDO DIAM. 2"</t>
  </si>
  <si>
    <t>CURVA DE 90 GRAUS DE PVC RIGIDO DIAM. 4"</t>
  </si>
  <si>
    <t>DUTO ESPIRAL FLEXIVEL SINGELO, POLIETILENO DE ALTA DENSIDADE REVESTIDO COM PVC COM FIO GUIA DE ACO GALVANIZADO, LANCADO DIRETO NO SOLO INCLUSIVE CONEXOES - D = 50MM (2") - CONSTRUCAO LINHA SIMPLES</t>
  </si>
  <si>
    <t>DUTO CORRUGADO EM PEAD (POLIETILENO DE ALTA DENSIDADE), PARA PROTEÇÃO DE CABOS SUBTERRÂNEOS Ø 4" (100MM)</t>
  </si>
  <si>
    <t>BUCHA E ARRUELA DE ALUMÍNIO Ø50MM</t>
  </si>
  <si>
    <t>BUCHA E ARRUELA DE ALUMÍNIO Ø100MM</t>
  </si>
  <si>
    <t>CABO DE COBRE ISOLACAO COMPOSTO TERMOPLASTICO 0,6/1KV, EPR/XLPE 90º, 16,0MM2, COR VERDE.</t>
  </si>
  <si>
    <t>CABO DE COBRE ISOLACAO COMPOSTO TERMOPLASTICO 0,6/1KV, EPR/XLPE 90º, 35,0MM2, COR PRETA.</t>
  </si>
  <si>
    <t>CABO DE COBRE ISOLACAO COMPOSTO TERMOPLASTICO 0,6/1KV, EPR/XLPE 90º, 35,0MM2, COR AZUL CLARO.</t>
  </si>
  <si>
    <t>CABO DE COBRE ISOLACAO COMPOSTO TERMOPLASTICO 0,6/1KV, EPR/XLPE 90º, 70,0MM2, COR VERDE.</t>
  </si>
  <si>
    <t>CABO DE COBRE ISOLACAO COMPOSTO TERMOPLASTICO 0,6/1KV, EPR/XLPE 90º, 120,0MM2, COR PRETA.</t>
  </si>
  <si>
    <t>CABO DE COBRE ISOLACAO COMPOSTO TERMOPLASTICO 0,6/1KV, EPR/XLPE 90º, 120,0MM2, COR AZUL CLARO.</t>
  </si>
  <si>
    <t>CURVA 90º PVC RÍGIDO, 50MM, COM LUVAS, TIGRE OU EQUIVALENTE</t>
  </si>
  <si>
    <t>CURVA 90º PVC RÍGIDO, 100MM, COM LUVAS, TIGRE OU EQUIVALENTE</t>
  </si>
  <si>
    <t>ELETRODUTO PEAD, 100MM COM LUVAS, TIGRE OU EQUIVALENTE</t>
  </si>
  <si>
    <t>ESCAVAÇÃO MANUAL DE VALAS CAIXAS E REATERRO</t>
  </si>
  <si>
    <t>LUMINARIA DE SOBREPOR PARA 2 LÂMPADAS FLUORESCENTES TUBULAREST516W127V.Código:
363796Ref.doProduto: 5070BQ. Fabricante Dautec ou similar.</t>
  </si>
  <si>
    <t>PEITORIL DE GRANITO NATURAL ASSENTADO ARGAMASSA CIMENTO E AREIA</t>
  </si>
  <si>
    <t>FORRO PVC EM PLACAS COM LARGURA DE 10CM, ESPESSURA 8MM,COMP DE 6,0M,LISO, INCLUSIVE COLOCAÇÃO, ESTRUTURA DE SUPORTE</t>
  </si>
  <si>
    <t>REGULARIZACAO  DE PISO/BASE EM ARGAMASSA TRAÇO 1;0,5;8(CIMENTO, CAL E AREIA), ESPESSURA 2,5 CM, PREP MECANICO</t>
  </si>
  <si>
    <t>ESCAVAÇÃO MANUAL CAMPO ABERTO EM SOLO EXCETO ROCHA ATE 2,00M DE PROFUNDIDADE</t>
  </si>
  <si>
    <t>DIVISORIA EM GRANITO POLIDO, ESP=3CM,ASSENTADO COM ARGAMASSA TRAÇO 1:4, ARREMATE EM CIMENTO BRANCO</t>
  </si>
  <si>
    <t xml:space="preserve">QUADRO DE DISTRIBUIÇÃO PARA TELEFONE 20X20X12cm EM CHAPA METÁLICA DE EMBUTIR, SEM ACESSORIO, PADRÃO TELEBRAS, FORNICIMENTO E INSTALAÇÃO </t>
  </si>
  <si>
    <t>QUADRO DE DISTRIBUICAO DE ENERGIA EM CHAPA METALICA, DE EMBUTIR, PARA 18 DISJUNTORES TERMOMAGNETICOS MONOPOLARES, COM BARRAMENTO TRIFASICO, FORNECIMENTO E INSTALACAO</t>
  </si>
  <si>
    <t>ESCAVAÇÃO MANUAL CAMPO ABERTO EM SOLO EXCETO ROCHA ATÉ 2,00M PROFUNDIDADE</t>
  </si>
  <si>
    <t>FORN/ASSENT. REGISTRO GAVETA CANOPLA CROMADA 32 MM</t>
  </si>
  <si>
    <t>CONTRAPISO/LASTRO CONCRETO 1:3:6 S/BETONEIRA E=5CM</t>
  </si>
  <si>
    <t>PISO EM GRANILITE ESP=8mm, INCLUSO JUNTAS DE DILATAÇÃO PLASTICA</t>
  </si>
  <si>
    <t>LANCAMENTO MANUAL DE CONCRETO EM FUNDAÇÃO</t>
  </si>
  <si>
    <t>ESTRUTURA METALICA PERFIS "I" 8 A 12" EM ACO LAMINADO(VIGA ISOLADA )</t>
  </si>
  <si>
    <t>ALVENARIA 1/2 VEZ DE TIJOLO CERAMICO FURADO 10X20X20CM, ASSENTADO COM ARGAMASSA 1:4 CIMENTO E AREIA ESP 1CM</t>
  </si>
  <si>
    <t>QUADRO DE DISTRIBUICAO DE ENERGIA DE EMBUTIR, EM CHAPA METALICA, PARA 40 DISJUNTORES TERMOMAGNETICOS MONOPOLARES, COM BARRAMENTO TRIFASICO E NEUTRO, FORNECIMENTO E INSTALACAO</t>
  </si>
  <si>
    <t>DESPESAS COM EPI</t>
  </si>
  <si>
    <t>CAPACETE PLASTICO RIGIDO</t>
  </si>
  <si>
    <t>PAR</t>
  </si>
  <si>
    <t>BOTA COURO SOLADO DE BORRACHA VULCANIZADA</t>
  </si>
  <si>
    <t>LUVA COURO C/ SOLADO RASPA CANO CURTO</t>
  </si>
  <si>
    <t>OCULOS DE PROTEÇÃO TRANSPARENTE</t>
  </si>
  <si>
    <t>UNIFORME COMPOSTO DE CALÇA E JALECO</t>
  </si>
  <si>
    <t xml:space="preserve">MÊS </t>
  </si>
  <si>
    <t>DESPESAS COM ALIMENTAÇÃO</t>
  </si>
  <si>
    <t>QUENTINHAS PARA 1 PESSOA X MÊS</t>
  </si>
  <si>
    <t>ALMOXARIFE</t>
  </si>
  <si>
    <t>03.00.00</t>
  </si>
  <si>
    <t>03.00.01</t>
  </si>
  <si>
    <t xml:space="preserve">TECNICO DE SEGURANÇA </t>
  </si>
  <si>
    <t>03.00.02</t>
  </si>
  <si>
    <t>03.00.03</t>
  </si>
  <si>
    <t>03.00.04</t>
  </si>
  <si>
    <t>03.00.05</t>
  </si>
  <si>
    <t>03.00.06</t>
  </si>
  <si>
    <t>03.00.07</t>
  </si>
  <si>
    <t>03.00.08</t>
  </si>
  <si>
    <t>DESPESAS COM TRANSPORTE DE FUNCIONARIOS</t>
  </si>
  <si>
    <t>CHAPISCO/TETOS C/ARGAMASSA CIMENTO/AREIA 1:3 E=0,5CM</t>
  </si>
  <si>
    <t>07.00.00</t>
  </si>
  <si>
    <t>07.00.01</t>
  </si>
  <si>
    <t>07.00.02</t>
  </si>
  <si>
    <t>07.00.03</t>
  </si>
  <si>
    <t>07.00.04</t>
  </si>
  <si>
    <t>07.00.05</t>
  </si>
  <si>
    <t>07.00.06</t>
  </si>
  <si>
    <t>07.00.09</t>
  </si>
  <si>
    <t>07.00.10</t>
  </si>
  <si>
    <t xml:space="preserve">ENGENHEIRO CIVIL </t>
  </si>
  <si>
    <t>TAXAS E EMOLUMENTOS</t>
  </si>
  <si>
    <t>ART DE EXECUÇÃO</t>
  </si>
  <si>
    <t>ART DE CONSULTORIA</t>
  </si>
  <si>
    <t>ART'S (FONTE CREA-AM)</t>
  </si>
  <si>
    <t>ALVARA DE CONSTRUÇÃO</t>
  </si>
  <si>
    <t xml:space="preserve">HABITE-SE </t>
  </si>
  <si>
    <t>ELETROBRÁS- AMAZONAS ENERGIA</t>
  </si>
  <si>
    <t>TX</t>
  </si>
  <si>
    <t>02.00.00</t>
  </si>
  <si>
    <t>INSTALAÇÕES PROVISÓRIAS</t>
  </si>
  <si>
    <t>02.00.01</t>
  </si>
  <si>
    <t>02.00.02</t>
  </si>
  <si>
    <t>02.00.03</t>
  </si>
  <si>
    <t>02.00.04</t>
  </si>
  <si>
    <t>02.00.05</t>
  </si>
  <si>
    <t>02.00.06</t>
  </si>
  <si>
    <t>04.00.00</t>
  </si>
  <si>
    <t>04.00.01</t>
  </si>
  <si>
    <t>04.00.02</t>
  </si>
  <si>
    <t>05.00.00</t>
  </si>
  <si>
    <t>05.00.01</t>
  </si>
  <si>
    <t>TRANSPORTE</t>
  </si>
  <si>
    <t>05.00.02</t>
  </si>
  <si>
    <t>05.00.03</t>
  </si>
  <si>
    <t>06.00.00</t>
  </si>
  <si>
    <t>06.00.01</t>
  </si>
  <si>
    <t>06.00.02</t>
  </si>
  <si>
    <t>06.00.03</t>
  </si>
  <si>
    <t>06.00.04</t>
  </si>
  <si>
    <t>08.00.00</t>
  </si>
  <si>
    <t>08.00.01</t>
  </si>
  <si>
    <t>08.00.02</t>
  </si>
  <si>
    <t>08.00.03</t>
  </si>
  <si>
    <t>08.00.04</t>
  </si>
  <si>
    <t>08.00.06</t>
  </si>
  <si>
    <t>08.00.10</t>
  </si>
  <si>
    <t>08.00.13</t>
  </si>
  <si>
    <t>08.00.14</t>
  </si>
  <si>
    <t>09.00.00</t>
  </si>
  <si>
    <t>09.00.01</t>
  </si>
  <si>
    <t>09.00.02</t>
  </si>
  <si>
    <t>09.00.03</t>
  </si>
  <si>
    <t>09.00.04</t>
  </si>
  <si>
    <t>09.00.05</t>
  </si>
  <si>
    <t>10.00.00</t>
  </si>
  <si>
    <t>10.00.01</t>
  </si>
  <si>
    <t>10.00.02</t>
  </si>
  <si>
    <t>10.00.03</t>
  </si>
  <si>
    <t>10.00.04</t>
  </si>
  <si>
    <t>10.00.05</t>
  </si>
  <si>
    <t>11.00.00</t>
  </si>
  <si>
    <t>11.00.01</t>
  </si>
  <si>
    <t>11.00.02</t>
  </si>
  <si>
    <t>11.00.03</t>
  </si>
  <si>
    <t>11.00.04</t>
  </si>
  <si>
    <t>12.00.01</t>
  </si>
  <si>
    <t>12.00.02</t>
  </si>
  <si>
    <t>12.00.03</t>
  </si>
  <si>
    <t>12.00.04</t>
  </si>
  <si>
    <t>12.00.05</t>
  </si>
  <si>
    <t>12.00.06</t>
  </si>
  <si>
    <t>12.00.07</t>
  </si>
  <si>
    <t xml:space="preserve"> REVESTIMENTO DE PAREDES INTERNAS/ EXTERNAS</t>
  </si>
  <si>
    <t>13.00.00</t>
  </si>
  <si>
    <t>13.00.01</t>
  </si>
  <si>
    <t>13.00.02</t>
  </si>
  <si>
    <t>13.00.03</t>
  </si>
  <si>
    <t>14.00.00</t>
  </si>
  <si>
    <t>14.00.01</t>
  </si>
  <si>
    <t>14.00.02</t>
  </si>
  <si>
    <t>14.00.03</t>
  </si>
  <si>
    <t>14.00.04</t>
  </si>
  <si>
    <t>14.00.05</t>
  </si>
  <si>
    <t>14.00.06</t>
  </si>
  <si>
    <t>14.00.07</t>
  </si>
  <si>
    <t>14.00.08</t>
  </si>
  <si>
    <t>15.00.00</t>
  </si>
  <si>
    <t>15.00.01</t>
  </si>
  <si>
    <t>15.00.02</t>
  </si>
  <si>
    <t>15.00.03</t>
  </si>
  <si>
    <t>15.00.04</t>
  </si>
  <si>
    <t>15.00.05</t>
  </si>
  <si>
    <t>15.00.06</t>
  </si>
  <si>
    <t>15.00.07</t>
  </si>
  <si>
    <t>16.00.00</t>
  </si>
  <si>
    <t>16.00.01</t>
  </si>
  <si>
    <t>16.00.02</t>
  </si>
  <si>
    <t>16.00.03</t>
  </si>
  <si>
    <t>16.00.04</t>
  </si>
  <si>
    <t>16.00.05</t>
  </si>
  <si>
    <t>16.00.06</t>
  </si>
  <si>
    <t>16.00.07</t>
  </si>
  <si>
    <t>16.00.08</t>
  </si>
  <si>
    <t>16.00.09</t>
  </si>
  <si>
    <t>17.00.01</t>
  </si>
  <si>
    <t>17.00.02</t>
  </si>
  <si>
    <t>17.00.00</t>
  </si>
  <si>
    <t xml:space="preserve"> INSTALAÇÕES. ELETRICAS/CABEAMENTO ESTRUTURADO/IMPLANTAÇÃO ELETRICA</t>
  </si>
  <si>
    <t>18.00.00</t>
  </si>
  <si>
    <t>18.01.00</t>
  </si>
  <si>
    <t>18.01.01</t>
  </si>
  <si>
    <t>18.01.02</t>
  </si>
  <si>
    <t>18.01.03</t>
  </si>
  <si>
    <t>18.01.07</t>
  </si>
  <si>
    <t>18.01.09</t>
  </si>
  <si>
    <t>18.01.11</t>
  </si>
  <si>
    <t>18.01.12</t>
  </si>
  <si>
    <t>18.01.13</t>
  </si>
  <si>
    <t>18.01.14</t>
  </si>
  <si>
    <t>18.01.15</t>
  </si>
  <si>
    <t>18.01.16</t>
  </si>
  <si>
    <t>18.01.17</t>
  </si>
  <si>
    <t>18.01.18</t>
  </si>
  <si>
    <t>19.01.19</t>
  </si>
  <si>
    <t>18.01.19</t>
  </si>
  <si>
    <t>18.01.20</t>
  </si>
  <si>
    <t>18.01.21</t>
  </si>
  <si>
    <t>18.01.22</t>
  </si>
  <si>
    <t>18.01.23</t>
  </si>
  <si>
    <t>18.01.24</t>
  </si>
  <si>
    <t>18.01.25</t>
  </si>
  <si>
    <t>18.01.26</t>
  </si>
  <si>
    <t>18.01.27</t>
  </si>
  <si>
    <t>18.01.28</t>
  </si>
  <si>
    <t xml:space="preserve">LUMINARIA DE SOBREPOR PARA 2 LÂMPADAS FLUORESCENTES TUBULARES
</t>
  </si>
  <si>
    <t>18.01.29</t>
  </si>
  <si>
    <t>18.01.30</t>
  </si>
  <si>
    <t>18.01.31</t>
  </si>
  <si>
    <t>18.01.32</t>
  </si>
  <si>
    <t>18.01.33</t>
  </si>
  <si>
    <t>18.01.34</t>
  </si>
  <si>
    <t>18.01.35</t>
  </si>
  <si>
    <t>18.01.36</t>
  </si>
  <si>
    <t>18.01.39</t>
  </si>
  <si>
    <t>18.01.40</t>
  </si>
  <si>
    <t>18.01.41</t>
  </si>
  <si>
    <t>18.01.45</t>
  </si>
  <si>
    <t>18.01.44</t>
  </si>
  <si>
    <t>18.01.43</t>
  </si>
  <si>
    <t>18.01.42</t>
  </si>
  <si>
    <t>18.02.00</t>
  </si>
  <si>
    <t>18.02.01</t>
  </si>
  <si>
    <t>18.02.02</t>
  </si>
  <si>
    <t>18.02.21</t>
  </si>
  <si>
    <t>18.02.20</t>
  </si>
  <si>
    <t>18.02.19</t>
  </si>
  <si>
    <t>18.02.18</t>
  </si>
  <si>
    <t>18.02.16</t>
  </si>
  <si>
    <t>18.02.15</t>
  </si>
  <si>
    <t>18.02.14</t>
  </si>
  <si>
    <t>18.02.13</t>
  </si>
  <si>
    <t>18.02.12</t>
  </si>
  <si>
    <t>18.02.10</t>
  </si>
  <si>
    <t>18.02.09</t>
  </si>
  <si>
    <t>18.02.08</t>
  </si>
  <si>
    <t>18.02.07</t>
  </si>
  <si>
    <t>18.02.06</t>
  </si>
  <si>
    <t>18.02.05</t>
  </si>
  <si>
    <t>18.02.04</t>
  </si>
  <si>
    <t>18.02.03</t>
  </si>
  <si>
    <t>18.02.11</t>
  </si>
  <si>
    <t>18.03.01</t>
  </si>
  <si>
    <t>18.03.00</t>
  </si>
  <si>
    <t>18.03.02</t>
  </si>
  <si>
    <t>18.03.03</t>
  </si>
  <si>
    <t>18.03.04</t>
  </si>
  <si>
    <t>18.03.05</t>
  </si>
  <si>
    <t>18.03.07</t>
  </si>
  <si>
    <t>18.03.08</t>
  </si>
  <si>
    <t>18.03.10</t>
  </si>
  <si>
    <t>18.03.11</t>
  </si>
  <si>
    <t>18.03.12</t>
  </si>
  <si>
    <t>18.03.13</t>
  </si>
  <si>
    <t>18.03.14</t>
  </si>
  <si>
    <t>18.03.15</t>
  </si>
  <si>
    <t>18.03.16</t>
  </si>
  <si>
    <t>18.03.17</t>
  </si>
  <si>
    <t>18.03.18</t>
  </si>
  <si>
    <t>REDE DE AGUA FRIA</t>
  </si>
  <si>
    <t>19.01.00</t>
  </si>
  <si>
    <t>19.01.01</t>
  </si>
  <si>
    <t>19.02.03</t>
  </si>
  <si>
    <t>19.01.03</t>
  </si>
  <si>
    <t>19.01.04</t>
  </si>
  <si>
    <t>19.01.05</t>
  </si>
  <si>
    <t>19.01.06</t>
  </si>
  <si>
    <t>19.01.07</t>
  </si>
  <si>
    <t>19.01.08</t>
  </si>
  <si>
    <t>19.01.09</t>
  </si>
  <si>
    <t>19.01.10</t>
  </si>
  <si>
    <t>19.01.11</t>
  </si>
  <si>
    <t>19.01.12</t>
  </si>
  <si>
    <t>19.01.13</t>
  </si>
  <si>
    <t>19.01.14</t>
  </si>
  <si>
    <t>19.01.15</t>
  </si>
  <si>
    <t>19.01.16</t>
  </si>
  <si>
    <t>19.01.17</t>
  </si>
  <si>
    <t>19.01.18</t>
  </si>
  <si>
    <t>19.01.20</t>
  </si>
  <si>
    <t>19.01.21</t>
  </si>
  <si>
    <t>19.01.22</t>
  </si>
  <si>
    <t>19.01.23</t>
  </si>
  <si>
    <t>19.01.24</t>
  </si>
  <si>
    <t>19.01.25</t>
  </si>
  <si>
    <t>19.01.26</t>
  </si>
  <si>
    <t>19.01.27</t>
  </si>
  <si>
    <t>19.01.28</t>
  </si>
  <si>
    <t>19.01.29</t>
  </si>
  <si>
    <t>19.01.30</t>
  </si>
  <si>
    <t>19.01.31</t>
  </si>
  <si>
    <t>19.01.32</t>
  </si>
  <si>
    <t>19.01.33</t>
  </si>
  <si>
    <t>19.01.34</t>
  </si>
  <si>
    <t>19.01.35</t>
  </si>
  <si>
    <t>19.01.36</t>
  </si>
  <si>
    <t>19.01.37</t>
  </si>
  <si>
    <t>19.01.38</t>
  </si>
  <si>
    <t>19.01.39</t>
  </si>
  <si>
    <t>19.01.40</t>
  </si>
  <si>
    <t>19.01.41</t>
  </si>
  <si>
    <t>19.01.42</t>
  </si>
  <si>
    <t>19.01.43</t>
  </si>
  <si>
    <t>19.01.44</t>
  </si>
  <si>
    <t>19.01.45</t>
  </si>
  <si>
    <t>19.01.46</t>
  </si>
  <si>
    <t>19.01.47</t>
  </si>
  <si>
    <t>19.01.48</t>
  </si>
  <si>
    <t>19.01.49</t>
  </si>
  <si>
    <t>19.01.50</t>
  </si>
  <si>
    <t>19.02.00</t>
  </si>
  <si>
    <t>19.02.01</t>
  </si>
  <si>
    <t>19.02.02</t>
  </si>
  <si>
    <t>19.02.04</t>
  </si>
  <si>
    <t>19.02.05</t>
  </si>
  <si>
    <t>19.02.06</t>
  </si>
  <si>
    <t>19.02.07</t>
  </si>
  <si>
    <t>19.02.08</t>
  </si>
  <si>
    <t>19.02.09</t>
  </si>
  <si>
    <t>19.02.10</t>
  </si>
  <si>
    <t>19.02.11</t>
  </si>
  <si>
    <t>19.02.12</t>
  </si>
  <si>
    <t>19.02.13</t>
  </si>
  <si>
    <t>19.02.14</t>
  </si>
  <si>
    <t>19.02.15</t>
  </si>
  <si>
    <t>19.02.16</t>
  </si>
  <si>
    <t>19.02.17</t>
  </si>
  <si>
    <t>19.02.18</t>
  </si>
  <si>
    <t>19.02.19</t>
  </si>
  <si>
    <t>19.02.20</t>
  </si>
  <si>
    <t>19.02.21</t>
  </si>
  <si>
    <t>19.02.22</t>
  </si>
  <si>
    <t>19.02.23</t>
  </si>
  <si>
    <t>19.02.24</t>
  </si>
  <si>
    <t>19.02.25</t>
  </si>
  <si>
    <t>19.02.26</t>
  </si>
  <si>
    <t>19.02.27</t>
  </si>
  <si>
    <t>19.02.28</t>
  </si>
  <si>
    <t>19.02.31</t>
  </si>
  <si>
    <t>19.02.32</t>
  </si>
  <si>
    <t>19.02.33</t>
  </si>
  <si>
    <t>19.02.34</t>
  </si>
  <si>
    <t>19.02.29</t>
  </si>
  <si>
    <t>19.02.30</t>
  </si>
  <si>
    <t>19.03.00</t>
  </si>
  <si>
    <t>19.03.01</t>
  </si>
  <si>
    <t>19.03.02</t>
  </si>
  <si>
    <t>19.03.03</t>
  </si>
  <si>
    <t>19.03.04</t>
  </si>
  <si>
    <t>19.03.05</t>
  </si>
  <si>
    <t>19.03.06</t>
  </si>
  <si>
    <t>19.03.07</t>
  </si>
  <si>
    <t>19.03.08</t>
  </si>
  <si>
    <t>19.03.09</t>
  </si>
  <si>
    <t>19.03.10</t>
  </si>
  <si>
    <t>19.03.11</t>
  </si>
  <si>
    <t>19.03.12</t>
  </si>
  <si>
    <t>19.03.13</t>
  </si>
  <si>
    <t>19.03.14</t>
  </si>
  <si>
    <t>19.03.15</t>
  </si>
  <si>
    <t>19.03.16</t>
  </si>
  <si>
    <t>19.03.17</t>
  </si>
  <si>
    <t>19.03.18</t>
  </si>
  <si>
    <t>19.03.19</t>
  </si>
  <si>
    <t>19.03.20</t>
  </si>
  <si>
    <t>19.03.21</t>
  </si>
  <si>
    <t>19.03.22</t>
  </si>
  <si>
    <t>19.03.23</t>
  </si>
  <si>
    <t xml:space="preserve"> PREVENÇÃO E COMBATE A INCENDIO</t>
  </si>
  <si>
    <t>20.00.00</t>
  </si>
  <si>
    <t>20.00.01</t>
  </si>
  <si>
    <t>20.00.03</t>
  </si>
  <si>
    <t>20.00.02</t>
  </si>
  <si>
    <t>20.00.04</t>
  </si>
  <si>
    <t>20.00.05</t>
  </si>
  <si>
    <t>20.00.06</t>
  </si>
  <si>
    <t>20.00.07</t>
  </si>
  <si>
    <t>20.00.08</t>
  </si>
  <si>
    <t>20.00.09</t>
  </si>
  <si>
    <t xml:space="preserve">PLACA DE SINALIZAÇAO VERTICAL 20X15CM </t>
  </si>
  <si>
    <t>20.00.17</t>
  </si>
  <si>
    <t>20.00.16</t>
  </si>
  <si>
    <t>20.00.15</t>
  </si>
  <si>
    <t>20.00.14</t>
  </si>
  <si>
    <t>20.00.13</t>
  </si>
  <si>
    <t>20.00.12</t>
  </si>
  <si>
    <t>20.00.11</t>
  </si>
  <si>
    <t>20.00.10</t>
  </si>
  <si>
    <t>21.00.00</t>
  </si>
  <si>
    <t>21.00.01</t>
  </si>
  <si>
    <t>21.00.02</t>
  </si>
  <si>
    <t>21.00.03</t>
  </si>
  <si>
    <t>22.00.00</t>
  </si>
  <si>
    <t>22.00.01</t>
  </si>
  <si>
    <t>22.00.02</t>
  </si>
  <si>
    <t>22.00.03</t>
  </si>
  <si>
    <t>22.00.04</t>
  </si>
  <si>
    <t>22.00.05</t>
  </si>
  <si>
    <t>AREAS EXTERNAS</t>
  </si>
  <si>
    <t>IMPLANTAÇÃO  DE AGUA PLUVIAL</t>
  </si>
  <si>
    <t>23.00.00</t>
  </si>
  <si>
    <t>23.01.00</t>
  </si>
  <si>
    <t>23.01.01</t>
  </si>
  <si>
    <t>23.01.07</t>
  </si>
  <si>
    <t>23.01.06</t>
  </si>
  <si>
    <t>23.01.05</t>
  </si>
  <si>
    <t>23.01.04</t>
  </si>
  <si>
    <t>23.01.03</t>
  </si>
  <si>
    <t>23.01.02</t>
  </si>
  <si>
    <t>19.00.00</t>
  </si>
  <si>
    <t xml:space="preserve"> INSTALAÇÕES HIDRO SANITÁRIAS</t>
  </si>
  <si>
    <t>PREÇO TOTAL(SINAPI)</t>
  </si>
  <si>
    <t>PREÇO TOTAL (SINAPI)</t>
  </si>
  <si>
    <t>PREÇO TOTAL  (SINAPI)</t>
  </si>
  <si>
    <t>QUADRO DE DISTRIBUIÇÃO DE SOBREPOR C/ BARRAMENTO T</t>
  </si>
  <si>
    <t>AUXILIAR DE ELETRICISTA</t>
  </si>
  <si>
    <t>LIMPEZA PERMANENTE DA OBRA</t>
  </si>
  <si>
    <t>PLANILHA ORÇAMENTÁRIA</t>
  </si>
  <si>
    <t>Item</t>
  </si>
  <si>
    <t>Unid.</t>
  </si>
  <si>
    <t>Quant.</t>
  </si>
  <si>
    <t xml:space="preserve">P. Unit. </t>
  </si>
  <si>
    <t xml:space="preserve">P. Total </t>
  </si>
  <si>
    <t>SERVIÇOS PRELIMINARES</t>
  </si>
  <si>
    <t>DESPESAS LEGAIS</t>
  </si>
  <si>
    <t>DESPESAS COM E.P.I</t>
  </si>
  <si>
    <t>DESPESAS COM TRANSPORTE DE FUNCIONÁRIOS</t>
  </si>
  <si>
    <t>LIMPEZA DA OBRA</t>
  </si>
  <si>
    <t>LIMPEZA FINAL DE OBRA</t>
  </si>
  <si>
    <t xml:space="preserve">  </t>
  </si>
  <si>
    <t>INFRA-ESTRUTURA</t>
  </si>
  <si>
    <t>07.00.07</t>
  </si>
  <si>
    <t>07.00.08</t>
  </si>
  <si>
    <t>SUPERESTRUTURA(PILARES,VIGAS,LAJES E ARQUIBANCADA)</t>
  </si>
  <si>
    <t xml:space="preserve">FORMA MADEIRA COMP RESINADA 12MM P/ESTRUTURA REAPROV 3 VEZES </t>
  </si>
  <si>
    <t>08.00.05</t>
  </si>
  <si>
    <t>08.00.07</t>
  </si>
  <si>
    <t>08.00.08</t>
  </si>
  <si>
    <t>08.00.09</t>
  </si>
  <si>
    <t>08.00.11</t>
  </si>
  <si>
    <t>08.00.12</t>
  </si>
  <si>
    <t>LANCAMENTO MANUAL DE CONCRETO EM ESTRUTURAS</t>
  </si>
  <si>
    <t>PEITORIL DE GRANITO NATURAL ASSENTADO ARGAMASSA CIMETNO E AREIA</t>
  </si>
  <si>
    <t>LASTRO DE CONCRETO TRACO 1:3:6, ESPESSURA 5CM, PREPARO MECANICO, INCLUSO ADITIVO IMPERMEABILIZANTE</t>
  </si>
  <si>
    <t>INSTALAÇÕES ELETRICAS/ CABEAMENTO ESTRUTURADO/ IMPLANTAÇÃO ELETRICA</t>
  </si>
  <si>
    <t>18.01.04</t>
  </si>
  <si>
    <t>18.01.05</t>
  </si>
  <si>
    <t>18.01.06</t>
  </si>
  <si>
    <t>18.01.08</t>
  </si>
  <si>
    <t>18.01.10</t>
  </si>
  <si>
    <t>CAIXA DE PASSAGEM METÁLICA ESMALTADA DE EMBUTIR, 4" X 2"X 2"</t>
  </si>
  <si>
    <t>CAIXA DE PASSAGEM METÁLICA ESMALTADA DE EMBUTIR, 4" X 4"X 2"</t>
  </si>
  <si>
    <t>18.01.37</t>
  </si>
  <si>
    <t>18.01.38</t>
  </si>
  <si>
    <t>18.02.17</t>
  </si>
  <si>
    <t>IMPLANTAÇÃO ELETRICA</t>
  </si>
  <si>
    <t>18.03.06</t>
  </si>
  <si>
    <t>18.03.09</t>
  </si>
  <si>
    <t>INSTALÇAOES HIDRO SANITÁRIAS</t>
  </si>
  <si>
    <t xml:space="preserve">REDE DE AGUA FRIA </t>
  </si>
  <si>
    <t>19.01.02</t>
  </si>
  <si>
    <t>PREVENÇÃO E COMBATE A INCÊNDIO</t>
  </si>
  <si>
    <t>BOMBA INCENDIO 10 CV FORNECIMENTO E INSTALAÇÃO</t>
  </si>
  <si>
    <t xml:space="preserve">CJ </t>
  </si>
  <si>
    <t>ÁREAS EXTERNAS</t>
  </si>
  <si>
    <t>IMPLANTAÇÃO DE ÁGUA PLUVIAL</t>
  </si>
  <si>
    <t>Total Geral da Planilha Orçamentária com BDI ( R$ )</t>
  </si>
  <si>
    <t>TxKM</t>
  </si>
  <si>
    <t>TRANSPORTE  COMERCIAL COM CAMINHAO BASCULANTE 6M3, RODOVIA EM LEITO NATURAL</t>
  </si>
  <si>
    <t>GANCHO LONGO GALVANIZADO PARA FIXAÇÃO NA LAJE.</t>
  </si>
  <si>
    <t>COMP110</t>
  </si>
  <si>
    <t>18.01.46</t>
  </si>
  <si>
    <t>18.01.47</t>
  </si>
  <si>
    <t>18.01.48</t>
  </si>
  <si>
    <t xml:space="preserve">CRONOGRAMA FÍSICO - FINANCEIRO        </t>
  </si>
  <si>
    <t>D I S C R I M I N A Ç Ã O</t>
  </si>
  <si>
    <t>DURAÇÃO</t>
  </si>
  <si>
    <t>TOTAL (R$)</t>
  </si>
  <si>
    <t>( % )</t>
  </si>
  <si>
    <t>1º MÊS</t>
  </si>
  <si>
    <t>2º MÊS</t>
  </si>
  <si>
    <t>3º MÊS</t>
  </si>
  <si>
    <t>4º MÊS</t>
  </si>
  <si>
    <t>5º MÊS</t>
  </si>
  <si>
    <t>( dia )</t>
  </si>
  <si>
    <t>30</t>
  </si>
  <si>
    <t>VALOR TOTAL (R$)</t>
  </si>
  <si>
    <t>PERCENTUAL PARCIAL</t>
  </si>
  <si>
    <t>VALOR TOTAL ACUMULADO (R$)</t>
  </si>
  <si>
    <t>PERCENTUAL ACUMULADO ACUMULADO</t>
  </si>
  <si>
    <t>6º MÊS</t>
  </si>
  <si>
    <t>BLOCO CONC ESTRUTURAL FCK4,5MPA 14X19X39CM</t>
  </si>
  <si>
    <t>03.00.09</t>
  </si>
  <si>
    <t>ENGENHEIRO ELETRICISTA</t>
  </si>
  <si>
    <t>V7</t>
  </si>
  <si>
    <t>V8</t>
  </si>
  <si>
    <t>V9</t>
  </si>
  <si>
    <t>V10</t>
  </si>
  <si>
    <t>VASO SANITARIO ELEVADO NBR 9050</t>
  </si>
  <si>
    <t>LAVATÓRIO DE CANTO NBR 9050</t>
  </si>
  <si>
    <t>TORNEIRA CROMADA COM ALAVANCA NBR 9050 PARA LAVATÓRIO</t>
  </si>
  <si>
    <t>BARRA DE APOIO PARA VASO SANITARIO NBR 9050</t>
  </si>
  <si>
    <t>CONJUNTO DE TABELAS DE BASQUETE PORTÁTIL TAMANHO OFICIAL, LIFETIME OU EQUIVALENTE, COM TABELA, BRAÇOS DE EXTENÇÃO, ARO, REDE, MEC. DE AJUSTE E POSTE</t>
  </si>
  <si>
    <t xml:space="preserve">ELEVADOR PNE, PARA 1 CADEIRANTE, MONTELE PL 240, OU EQUIVALENTE, POSSUINDO PERCURSO MÍNIMO DE 4,0M, LARGURA LIVRE PARA INSTALAÇÃO DE 150CM C 150CM, VELOCIDADE DE 6M/MIN, CARGA 275 </t>
  </si>
  <si>
    <t>23.01.08</t>
  </si>
  <si>
    <t>CAIXA DE AREIA 60X60X60CM EM ALVENARIA - EXECUÇÃO</t>
  </si>
  <si>
    <t>TRANSPORTE LOCAL COM CAMINHAO BASCULANTE 6 M3, RODOVIA EM LEITO NATURAL (10 KM)</t>
  </si>
  <si>
    <t>M3XKM</t>
  </si>
  <si>
    <t>PISO (CALÇADA) EM CONCRETO 12MPA TRACO 1:3:5 (CIMENTO/AREIA/BRITA) PREPARO MECANICO, ESPESSURA 7CM, COM JUNTA DE DILATACAO EM MADEIRA</t>
  </si>
  <si>
    <t>CONCRETO</t>
  </si>
  <si>
    <t>AÇO NA FUNDAÇÃO</t>
  </si>
  <si>
    <t>19.03.24</t>
  </si>
  <si>
    <t>19.03.25</t>
  </si>
  <si>
    <t>CAFÉ DA MANHÁ, COPO DE LEITE+PÃO+CAFÉ</t>
  </si>
  <si>
    <t>DUCHA FRIA PAREDE COM BRAÇO 90mm VOLGA-CELITE OU EQUIVALENTE, FORNECIMENTO E INSTALACAO</t>
  </si>
  <si>
    <t>DUCHA FRIA PAREDE COM BRAÇO 90mm VOLGA-CELITE OU EQUIVALENTE</t>
  </si>
  <si>
    <t>MOTONIVELADORA 155 HP</t>
  </si>
  <si>
    <t>ROLO COMPACTADOR 83 HP</t>
  </si>
  <si>
    <t>ROLO COMPACTADOR PÉ DE CARNEIRO 83 HP</t>
  </si>
  <si>
    <t>TRATOR DE ESTEIRAS</t>
  </si>
  <si>
    <t>TRATOR DE PNEUS 75 HP</t>
  </si>
  <si>
    <t>BETONEIRA 580 L.</t>
  </si>
  <si>
    <t>BETONEIRA 320 L.</t>
  </si>
  <si>
    <t>MAQUINA ELETRICA POLIMENTO PISO</t>
  </si>
  <si>
    <t>MAQUINA CORTAR ASFALTO/CONCRETO</t>
  </si>
  <si>
    <t>OTROS EQUIPAMENTOS PEQUENOS (VIBRADOR, FURADEIRA, ETC.)</t>
  </si>
  <si>
    <t>PESO TOTAL</t>
  </si>
  <si>
    <t>(T.)</t>
  </si>
  <si>
    <t>APLICACAO DE TINTA A BASE DE EPOXI SOBRE PISO</t>
  </si>
  <si>
    <t>INSUMOS</t>
  </si>
  <si>
    <t>ESCAVADEIRA KOMATSU PC150 103 HP</t>
  </si>
  <si>
    <t>Cimento</t>
  </si>
  <si>
    <t>Areia</t>
  </si>
  <si>
    <t>Brita</t>
  </si>
  <si>
    <t>Agua</t>
  </si>
  <si>
    <t>Dossagem de concreto:</t>
  </si>
  <si>
    <t>kg/m3</t>
  </si>
  <si>
    <t>litros/m3</t>
  </si>
  <si>
    <t>Fundação</t>
  </si>
  <si>
    <t>Estrutura</t>
  </si>
  <si>
    <t xml:space="preserve">M3 Concreto na fundação = </t>
  </si>
  <si>
    <t>M3 Concreto na estrutura =</t>
  </si>
  <si>
    <t>(T)</t>
  </si>
  <si>
    <t>m3</t>
  </si>
  <si>
    <t>BRITA/SEIXO</t>
  </si>
  <si>
    <t>CIMENTO (50 %)</t>
  </si>
  <si>
    <t>AÇO NA ESTRUTURA DE CONCRETO</t>
  </si>
  <si>
    <t>AÇO NA ESTRUTURA METÁLICA</t>
  </si>
  <si>
    <t>TELHA METÁLICA (6 kg/m2)</t>
  </si>
  <si>
    <t>CALHAS E RUFOS</t>
  </si>
  <si>
    <t>FORRO PVC EM PLACAS COM LARGURA DE 10CM</t>
  </si>
  <si>
    <t>PISO EM CERAMICA ESMALTADA 1A PEI-V</t>
  </si>
  <si>
    <t>PISO EM GRANILITE ESP=8mm</t>
  </si>
  <si>
    <t>MATERIAIS ELETRICOS</t>
  </si>
  <si>
    <t>MATERIAIS HIDR-SANITÁRIOS</t>
  </si>
  <si>
    <t>EQUIPAMENTOS ESPORTIVOS</t>
  </si>
  <si>
    <t>EMASSAMENTO COM MASSA ACRILICA</t>
  </si>
  <si>
    <t>FUNDO SELADOR ACRILICO</t>
  </si>
  <si>
    <t>PINTURA LATEX ACRILICA</t>
  </si>
  <si>
    <t>PINTURA EM ESMALTE SINTETICO</t>
  </si>
  <si>
    <t>TINTA A BASE DE EPOXI</t>
  </si>
  <si>
    <t>CONDICIONADOR DE AR TIPO SPLIT, CICLO FRIO COM CONTROLE REMOTO (CAPACIDADE: 30.000 BTU/H / TENSÃO: 220 V)</t>
  </si>
  <si>
    <t>ELETRODO AWS E-6010 (0K 22.50; WI 610) D = 4MM ( SOLDA ELETRICA )</t>
  </si>
  <si>
    <t xml:space="preserve">MAQUINA P/ SOLDA ELETRICA TIPO BAMBINA TIG 30 AC/DC DA BAMBOZZI OU </t>
  </si>
  <si>
    <t>ESPONJA (ISOLANTE TERMICO) 42MMX1000M</t>
  </si>
  <si>
    <t>ABRACADEIRA DE NYLON PARA AMARRACAO DE CABOS, COMPRIM= 199MM</t>
  </si>
  <si>
    <t xml:space="preserve">CABO DE COBRE ISOLADO PVC RESISTENTE A CHAMA 450/750 V 6 MM2 </t>
  </si>
  <si>
    <t>CONDICIONADOR DE AR TIPO SPLIT, CICLO FRIO COM CONTROLE REMOTO (CAPACIDADE: 36.000 BTU/H / TENSÃO: 220 V)</t>
  </si>
  <si>
    <t>CONDICIONADOR DE AR TIPO SPLIT, CICLO FRIO COM CONTROLE REMOTO (CAPACIDADE: 24.000 BTU/H / TENSÃO: 220 V)</t>
  </si>
  <si>
    <t>14.00.09</t>
  </si>
  <si>
    <t>14.00.10</t>
  </si>
  <si>
    <t>MEIO-FIO DE CONCRETO MOLDADO NO LOCAL, USINADO 15 MPA, COM 0,30 M ALTURA X 0,15 M BASE, REJUNTE EM ARGAMASSA TRACO 1:3,5 (CIMENTO E AREIA)</t>
  </si>
  <si>
    <t>CIMENTO PORTLAND COMPOSTO CP II- 32</t>
  </si>
  <si>
    <t>AREIA MEDIA - POSTO JAZIDA / FORNECEDOR (SEM FRETE)</t>
  </si>
  <si>
    <t>PEDRA BRITADA N. 1 OU 19 MM - POSTO PEDREIRA / FORNECEDOR (SEM FRETE)</t>
  </si>
  <si>
    <t>PEDRA BRITADA N. 2 OU 25 MM - POSTO PEDREIRA / FORNECEDOR (SEM FRETE)</t>
  </si>
  <si>
    <t>BETONEIRA 320L ELETRICA TRIFASICA 3HP C/ CARREGADOR MECANICO</t>
  </si>
  <si>
    <t>PECA DE MADEIRA 3A/4A QUALIDADE 1 X 7CM NAO APARELHADA</t>
  </si>
  <si>
    <t>ARGAMASSA CIMENTO/AREIA 1:4 - PREPARO MECANICO</t>
  </si>
  <si>
    <t>CALCETEIRO</t>
  </si>
  <si>
    <t>CONCRETO USINADO BOMBEADO FCK = 15,0MPA</t>
  </si>
  <si>
    <t>FORMA TABUAS MADEIRA 3A P/ PECAS CONCRETO ARM, REAPR 2X, INCL MONTAGEM E DESMONTAGEM</t>
  </si>
  <si>
    <t>LANCAMENTO/APLICACAO MANUAL DE CONCRETO EM ESTRUTURAS</t>
  </si>
  <si>
    <t>DISJUNTOR BIPOLAR 25 A REF. SIEMENS, PRIMELETRICA OU LOUSANO</t>
  </si>
  <si>
    <t>VASO SANITARIO ELEVADO NBR 9050 - FORN E INSTALAÇÃO</t>
  </si>
  <si>
    <t>LAVATORIO DE CANTO NBR 9050 - FORNEC E INST.</t>
  </si>
  <si>
    <t>LAVATORIO DE CANTO NBR 9050</t>
  </si>
  <si>
    <t>TORNEIRA COM ALAVANCA PARA LAVATORIO NBR 9050</t>
  </si>
  <si>
    <t>CONJUNTO DE TABELAS DE BASQUETE PORTÁTIL TAMANHO OFICIAL, LIFETIME OU EQUIVALENTE, COM TABELA, BRAÇOS DE EXTENÇÃO, ARO, REDE, MEC. DE AJUSTE E POSTE.</t>
  </si>
  <si>
    <t>50KG</t>
  </si>
  <si>
    <t>CIMENTO PORTLAND POZOLANICO CP IV- 32</t>
  </si>
  <si>
    <t>CHI</t>
  </si>
  <si>
    <t>SERVENTE</t>
  </si>
  <si>
    <t>INSTALÇÕES PROVISÓRIAS</t>
  </si>
  <si>
    <t>LIGAÇÃO PROVISÓRIA ELÉTRICA</t>
  </si>
  <si>
    <t>4[MESES]</t>
  </si>
  <si>
    <t>6[MESES]*22[DIAS]*30[FUNCIONÁRIOS]</t>
  </si>
  <si>
    <t>40[FUNCIONÁRIOS]</t>
  </si>
  <si>
    <t>LIMPEZA PERMANENTE DA OBRAS</t>
  </si>
  <si>
    <t>MOBILIZAÇÃO E DESMOBILIZAÇÃO DE EQUIPAMENTO VIA FLUVIAL</t>
  </si>
  <si>
    <t>TRANSPORTE DE INSUMOS VIA FLUVIAL</t>
  </si>
  <si>
    <t>TRANSPORTE COMERCIAL COM CAMINHAO BASCULANTE</t>
  </si>
  <si>
    <t>MEMORIAL CÁLCULO TRANSPORTE</t>
  </si>
  <si>
    <t>(ITEM 05.00.02)*2[KILÓMETROS](DISTÂNCIA ESTIMADA PORTO-IFAM)</t>
  </si>
  <si>
    <t xml:space="preserve">COMPACTAÇÃO MECÂNICA C/ CONTROLE GC&gt;= 95% DO P.N. </t>
  </si>
  <si>
    <t>ESCAVACAO MANUAL CAMPO ABERTO</t>
  </si>
  <si>
    <t>LASTRO DE BRITA</t>
  </si>
  <si>
    <t>MEMORIAL CÁLCULO FUNDAÇÃO</t>
  </si>
  <si>
    <t xml:space="preserve">     V.Last. = (L1+LE1) x (L2+LE2) x LE3 x Quant.</t>
  </si>
  <si>
    <t xml:space="preserve">     V.Trasnp. = V.Escav. + 30% Empolgamento</t>
  </si>
  <si>
    <t>MEMORIAL ESTRUTURA</t>
  </si>
  <si>
    <t>RATERRO</t>
  </si>
  <si>
    <t>TIPO II</t>
  </si>
  <si>
    <t>TIPO I</t>
  </si>
  <si>
    <t>PISO (CALÇADA) EM CONCRETO 12MPA TRACO 1:3:5</t>
  </si>
  <si>
    <t>MEIO-FIO DE CONCRETO MOLDADO NO LOCAL</t>
  </si>
  <si>
    <t>MEMORIAL DE CALCULO DE REV. DE PISO (PORCELANATO+GRANITINA)</t>
  </si>
  <si>
    <t>TIPO A</t>
  </si>
  <si>
    <t>TIPO B</t>
  </si>
  <si>
    <t>TIPO C</t>
  </si>
  <si>
    <t>TIPO D</t>
  </si>
  <si>
    <t>2*76,60[COMPRIMENTO]+2*45,66[LARGURA]</t>
  </si>
  <si>
    <t>3497,56[ÁREA OCUPAÇÃO]-2185,95[ÁREA TÉRREO]</t>
  </si>
  <si>
    <t>EMASSAMENTO COM MASSA ACRILICA PARA AMBIENTES INTERNOS, DUAS DEMAOS</t>
  </si>
  <si>
    <t>P1</t>
  </si>
  <si>
    <t>PB1</t>
  </si>
  <si>
    <t>ALUMINIO</t>
  </si>
  <si>
    <t>CHAPA METÁLICA</t>
  </si>
  <si>
    <t>MADEIRA</t>
  </si>
  <si>
    <t>DIVISORIA MAD. 35 mm</t>
  </si>
  <si>
    <t>[ÁREA QUADRA]</t>
  </si>
  <si>
    <t>16.00.10</t>
  </si>
  <si>
    <t>MEMORIAL DE CÁLCULO ALVENARIA</t>
  </si>
  <si>
    <t>MEMORIAL ESQUADRIAS</t>
  </si>
  <si>
    <t>[P1+PB1] MEMORIAL DE ALVENARIA</t>
  </si>
  <si>
    <t>[PT1+PE1+PE2] MEMORIAL ESQUADRIAS</t>
  </si>
  <si>
    <t>[PT1+PE1+PE2+PD1] MEMORIAL ESQUADRIAS</t>
  </si>
  <si>
    <t>[PT1+PE1+PE2+PD1] * 3 MEMORIAL ESQUADRIAS</t>
  </si>
  <si>
    <t xml:space="preserve">DISJUNTOR TERMOMAGNETICO TRIPOLAR 70A    </t>
  </si>
  <si>
    <t xml:space="preserve">ABRAÇADEIRA PARA FIXAÇÃO DE CABO TELEFÔNICO CTP APL 50-30P </t>
  </si>
  <si>
    <t>QUADRO DE DISTRIBUIÇÃO PARA TELEFONE 20X20X12cm</t>
  </si>
  <si>
    <t>CAIXA DE PASSAGEM PARA TELEFONE 80X80X15CM (SOBREPOR) FORNECIMENTO E INSTALACAO</t>
  </si>
  <si>
    <t>IMPLANTAÇÃO ELÉTRICA</t>
  </si>
  <si>
    <t>ABRIGO PARA HIDRANTE, 90X60X17CM</t>
  </si>
  <si>
    <t>ELEVADOR PARA PNE</t>
  </si>
  <si>
    <t>CAIXA DE AREIA 60X60X60CM EM ALVENARIA</t>
  </si>
  <si>
    <t>FOLHA Nº:</t>
  </si>
  <si>
    <t>LOCAL:</t>
  </si>
  <si>
    <t>ATERRO:</t>
  </si>
  <si>
    <t>m³</t>
  </si>
  <si>
    <t>TRECHO:</t>
  </si>
  <si>
    <t>PLATAFORMA</t>
  </si>
  <si>
    <t>CORTE:</t>
  </si>
  <si>
    <t>ENTRE EST.:</t>
  </si>
  <si>
    <t>FOLHA DE CUBAÇÃO</t>
  </si>
  <si>
    <t>ESTACAS</t>
  </si>
  <si>
    <t>COTAS VERM.</t>
  </si>
  <si>
    <t>ÁREAS PARCIAIS</t>
  </si>
  <si>
    <t>SOMA DAS ÁREAS</t>
  </si>
  <si>
    <t>SEMI-DIST.</t>
  </si>
  <si>
    <t>VOLUMES EXCEDENTES</t>
  </si>
  <si>
    <t>RESULTADO DE BRUCKNER</t>
  </si>
  <si>
    <t>PARCIAIS</t>
  </si>
  <si>
    <t>ACUMULADOS</t>
  </si>
  <si>
    <t>COMPENS. LONGITUDINAL</t>
  </si>
  <si>
    <t>m²</t>
  </si>
  <si>
    <t>ATERRO m³</t>
  </si>
  <si>
    <t>CORTE m³</t>
  </si>
  <si>
    <t>VOL S</t>
  </si>
  <si>
    <t>DIST.</t>
  </si>
  <si>
    <t>MONT.</t>
  </si>
  <si>
    <t>SOT.</t>
  </si>
  <si>
    <t>EMP.</t>
  </si>
  <si>
    <t>d e m</t>
  </si>
  <si>
    <t>m d e m</t>
  </si>
  <si>
    <t>BORDA</t>
  </si>
  <si>
    <t>S-1</t>
  </si>
  <si>
    <t>S-2</t>
  </si>
  <si>
    <t>EMPOLAMENTO</t>
  </si>
  <si>
    <t>CALCULADO POR:</t>
  </si>
  <si>
    <t>DES</t>
  </si>
  <si>
    <t>TRANSPORTAR</t>
  </si>
  <si>
    <t>SOMA TOTAL</t>
  </si>
  <si>
    <t>OBSERVAÇÃO:</t>
  </si>
  <si>
    <t>- NÃO ESTÁ INCLUSO O EMPOLAMENTO.</t>
  </si>
  <si>
    <t>DIVISORIA CEGA (N1) - PAINEL MSO/COMEIA E=35MM - MONTANTE/RODAPE DUPLO ALUMINIO ANOD NAT - COLOCADA</t>
  </si>
  <si>
    <t>ESCAVACAO E CARGA MATERIAL 1A CATEGORIA, UTILIZANDO TRATOR DE ESTEIRAS DE 110 A 160HP COM LAMINA, PESO OPERACIONAL * 13T E PA CARREGADEIRA COM 170 HP.</t>
  </si>
  <si>
    <t>TRANSPORTE COMERCIAL COM CAMINHAO BASCULANTE 6 M3, RODOVIA EM LEITO NATURAL</t>
  </si>
  <si>
    <t>REATERRO APILOADO EM CAMADAS 0,20M C MATERIAL ARGILO-ARENOSO ADQUIRIDO EM JAZIDA, JÁ CONSIDERANDO UM ACRÉSCIMO DE 25% NO VOLUME DO MATERIAL ADQUIRIDO, NÃO CONSIDERANDO O TRANSPORTE ATÉ O REATERRO</t>
  </si>
  <si>
    <t>M3xKM</t>
  </si>
  <si>
    <t>VOLUME CORTE =</t>
  </si>
  <si>
    <t>VOLUME ATERRO =</t>
  </si>
  <si>
    <t>CORTE =</t>
  </si>
  <si>
    <t>ATERRO =</t>
  </si>
  <si>
    <t>TOTAL =</t>
  </si>
  <si>
    <t>VOLUME TRANSPORTE (CONSIDERADO 25 % EMPOLGAMENTO)</t>
  </si>
  <si>
    <t>ESCAVACAO E CARGA MATERIAL 1A CATEGORIA</t>
  </si>
  <si>
    <t>TRANSPORTE COMERCIAL COM CAMINHAO BASCULANTE 6 M3</t>
  </si>
  <si>
    <t>REATERRO APILOADO EM CAMADAS 0,20M</t>
  </si>
  <si>
    <t>MEMORIAL CÁLCULO MOV. TERRAS</t>
  </si>
  <si>
    <t>M³xKM</t>
  </si>
  <si>
    <t>PA CARREGADEIRA SOBRE RODAS 180 HP - CAPACIDADE DA CACAMBA. 2,5 A 3,3 M3 - PESO OPERACIONAL 17.428 - CHP DIURNO</t>
  </si>
  <si>
    <t>PA CARREGADEIRA SOBRE RODAS 180 HP - CAPACIDADE DA CACAMBA. 2,5 A 3,3 M3 - PESO OPERACIONAL 17.428 - CHI DIURNO</t>
  </si>
  <si>
    <t>TRATOR DE ESTEIRAS CATERPILLAR D6 153HP (VU=10AN0S) - CHP DIURNO</t>
  </si>
  <si>
    <t>MEMORIAL CÁLCULO MOV. TERRAS * 10 KM</t>
  </si>
  <si>
    <t>DOBRADIÇAS</t>
  </si>
  <si>
    <t>FECHADURAS</t>
  </si>
  <si>
    <t>INCLUIDA</t>
  </si>
  <si>
    <t>MATERIAL</t>
  </si>
  <si>
    <t>FORMA TABUA PARA CONCRETO EM FUNDACAO C/ REAPROVEITAMENTO 5X</t>
  </si>
  <si>
    <t>PREGO POLIDO COM CABECA 18 X 27</t>
  </si>
  <si>
    <t>PECA DE MADEIRA 2A QUALIDADE 2,5 X 5CM NAO APARELHADA</t>
  </si>
  <si>
    <t>TABUA MADEIRA 2A QUALIDADE 2,5 X 30,0CM (1 X 12") NAO APARELHADA</t>
  </si>
  <si>
    <t>S-3</t>
  </si>
  <si>
    <t>S-4</t>
  </si>
  <si>
    <t>MOBILIZAÇÃO E DESMOBILIZAÇÃO DE EQUIPAMENTOS VIA FLUVIAL - MANAUS/TABATINGA 3.146 KM (Ida e Volta), Balsa Fretada c/ Empurrador de 315HP.</t>
  </si>
  <si>
    <t>TRANSPORTE DE INSUMOS VIA FLUVIAL - MANAUS/TABATINGA 3.1460 KM ( IDA ), BALSA FRETADA C/ EMPURRADOR DE 315HP</t>
  </si>
  <si>
    <t>ESTACA RAIZ Φ31CM S/ ARMADURA</t>
  </si>
  <si>
    <t>ESTACA RAIZ Φ40CM S/ ARMADURA</t>
  </si>
  <si>
    <t>ESTACA RAIZ Φ 31CM S/ ARMADURA</t>
  </si>
  <si>
    <t>ESTACA RAIZ Φ 40CM S/ ARMADURA</t>
  </si>
  <si>
    <t>Metro linear de Estaca Raiz executada em solo, Ø de 31 cm, exclusive materiais</t>
  </si>
  <si>
    <t>Metro linear de Estaca Raiz executada em solo, Ø de 40 cm, exclusive materiais</t>
  </si>
  <si>
    <t>07.00.12</t>
  </si>
  <si>
    <t>07.00.141</t>
  </si>
  <si>
    <t>OBRA: IFAM_TABATINGA</t>
  </si>
  <si>
    <t>DATA: 23/Set/13</t>
  </si>
  <si>
    <t>"LUMINARIA DE SOBREPOR PARA 2 LÂMPADAS FLUORESCENTES TUBULARES"</t>
  </si>
  <si>
    <t>CABO DE COBRE ISOLAMENTO ANTI-CHAMA 0,6/1KV 16MM2  COR PRETA</t>
  </si>
  <si>
    <t>CABO DE COBRE ISOLAMENTO ANTI-CHAMA 0,6/1KV 16MM2   COR AZUL CLARO</t>
  </si>
  <si>
    <t>CABO DE COBRE ISOLAMENTO ANTI-CHAMA 0,6/1KV 16MM2  COR VERDE</t>
  </si>
  <si>
    <t>ARAME GALVANIZADO 16 BWG - 1,65MM - 0,0166 KG/M</t>
  </si>
  <si>
    <t>PREGO POLIDO COM CABEÇA 1 1/2" X 13"</t>
  </si>
  <si>
    <t>PECA DE MADEIRA DE LEI *7,5 X 7,5* CM, NÃO APARELHADA, (P/TELHADO, ESTRUTURAS PERMANENTES)</t>
  </si>
  <si>
    <t>NIVEL OTICO C/ PRECISAO +/- 0,7MM TIPO WILD NA-2 OU EQUIV</t>
  </si>
  <si>
    <t>TEODOLITO COM PRECISAO DE + / - 6 SEGUNDOS, INCLUSIVE TRIPE (LOCACAO)</t>
  </si>
  <si>
    <t>AUXILIAR DE TOPOGRAFO</t>
  </si>
  <si>
    <t>TOPÓGRAFO</t>
  </si>
  <si>
    <t>NIVELADOR</t>
  </si>
  <si>
    <t>TOPOGRAFO</t>
  </si>
  <si>
    <t>ARAME GALVANIZADO 16BWG, 1,65MM</t>
  </si>
  <si>
    <t>PREGO POLIDO COM CABELA 1 1/2" X 13 "</t>
  </si>
  <si>
    <t>OPERADOR DE BETONEIRA ESTACIONÁRIA</t>
  </si>
  <si>
    <t>OK</t>
  </si>
  <si>
    <t>PA CARREGADEIRA SOBRE RODAS 180 HP - CAPACIDADE DA CACAMBA. 2,5 A 3,3M3 - PESO OPERACIONAL 17.428 - CHP DIURNO</t>
  </si>
  <si>
    <t>PA CARREGADEIRA SOBRE RODAS 180 HP - CAPACIDADE DA CACAMBA. 2,5 A 3,3M3 - PESO OPERACIONAL 17.428 - CHI DIURNO</t>
  </si>
  <si>
    <t>ARGAMASSA 20MPA, VIRADO EM BETONEIRA, NA OBRA, SEM LANÇAMENTO</t>
  </si>
  <si>
    <t>OPERADOR DE BETONEIRA</t>
  </si>
  <si>
    <t>AREIA MÉDIA</t>
  </si>
  <si>
    <t>CIMENTO PORTLAND COMPOSTO CP II-32</t>
  </si>
  <si>
    <t>BETONEIRA CAPACIDADE NOMINAL 400L, CAPACIDADE DE MISTURA 310L, MOTOR A DIESEL POTÊNCIA 5HP, SEM CARREGADOR - CHP DIURNO. AF_06/2014</t>
  </si>
  <si>
    <t>BETONEIRA CAPACIDADE NOMINAL 400L, CAPACIDADE DE MISTURA 310L, MOTOR A DIESEL POTÊNCIA 5HP, SEM CARREGADOR - CHI DIURNO. AF_06/2014</t>
  </si>
  <si>
    <t>PECA DE MADEIRA NATIVA/REGIONAL 2,5 X 5CM (1X2") NAO APARELHADA (SARRAFO P/FORMA)</t>
  </si>
  <si>
    <t>TELHA GALVALUME 0,50, ONDULADA</t>
  </si>
  <si>
    <t>COBERTURA COM TELHA GALVALUME 0,50, PERFIL ONDULADO, INCLUSO ACESSORIOS</t>
  </si>
  <si>
    <t>PECA DE MADEIRA NATIVA/REGIONAL 1 X 7CM NAO APARELHADA (P/FORMA)</t>
  </si>
  <si>
    <t>ESTAÇÃO DE TRATAMENTO COMPACTA PARA ESGOTO POR LODOS ATIVADOS PARA 150 PESSOAS, VERTICAL ASCENDENTE, ANARÓBIA/AERÓBIA, INCLUSO BASE DE CONCRETO</t>
  </si>
  <si>
    <t>FILTRO ANAERÓBIO/AERÓBIO - ECTE V-NA/ERA DE 2000L</t>
  </si>
  <si>
    <t>ESTAÇÃO ELEVATÓRIA CONJUGADA COM CAIXA DESARENADORA DE 500L + 2(DUAS) BOMBAS SUBMERSÍVEIS SCHULZ INÓX 1/3CV OU EQUIVALENTE</t>
  </si>
  <si>
    <t>QUADRO DE COMANDO PARA BOMBAS SUBMERSÍVEIS E BOMBAS DE RETORNO DE LODO</t>
  </si>
  <si>
    <t>SISTEMA DE RETORNO DE LODO</t>
  </si>
  <si>
    <t>TRATAMENTO TERCIÁRIO POR CLORAÇÃO DE 150L</t>
  </si>
  <si>
    <t>FORMA TABUA PARA CONCRETO EM FUNDACAO, C/ REAPROVEITAMENTO 2X.</t>
  </si>
  <si>
    <t>CONCRETO FCK 15MPA, PREPARO COM BETONEIRA, SEM LANÇAMENTO</t>
  </si>
  <si>
    <t>ARMACAO EM TELA DE ACO SOLDADA NERVURADA Q-138, ACO CA-60, 4,2MM, MALHA 10X10CM</t>
  </si>
  <si>
    <t>GRADE FERRO CHATO 1/4" X 1" L=25 CM (21 KG/M)</t>
  </si>
  <si>
    <t>ELETRICISTA</t>
  </si>
  <si>
    <t>Viagam Manaus / Tabatinga / Manaus (custo médio da viagem aérea ida e volta)</t>
  </si>
  <si>
    <t>1.1</t>
  </si>
  <si>
    <t>1.1.1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</si>
  <si>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</si>
  <si>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</si>
  <si>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</si>
  <si>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</si>
  <si>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</si>
  <si>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</si>
  <si>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</si>
  <si>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</si>
  <si>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</si>
  <si>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</si>
  <si>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</si>
  <si>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</si>
  <si>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</si>
  <si>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</si>
  <si>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</si>
  <si>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4.1</t>
  </si>
  <si>
    <t>4.2</t>
  </si>
  <si>
    <t>5.1</t>
  </si>
  <si>
    <t>5.2</t>
  </si>
  <si>
    <t>5.3</t>
  </si>
  <si>
    <t>6.4</t>
  </si>
  <si>
    <t>7.1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</si>
  <si>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</si>
  <si>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</si>
  <si>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</si>
  <si>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</si>
  <si>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</si>
  <si>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</si>
  <si>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</si>
  <si>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</si>
  <si>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</si>
  <si>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</si>
  <si>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</si>
  <si>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</si>
  <si>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</si>
  <si>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</si>
  <si>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</si>
  <si>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</si>
  <si>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</si>
  <si>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</si>
  <si>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</si>
  <si>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</si>
  <si>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</si>
  <si>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</si>
  <si>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</si>
  <si>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</si>
  <si>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9.1</t>
  </si>
  <si>
    <t>9.2</t>
  </si>
  <si>
    <t>9.3</t>
  </si>
  <si>
    <t>10.1</t>
  </si>
  <si>
    <t>10.2</t>
  </si>
  <si>
    <t>10.3</t>
  </si>
  <si>
    <t>10.4</t>
  </si>
  <si>
    <t>10.5</t>
  </si>
  <si>
    <t>11.1</t>
  </si>
  <si>
    <t>11.2</t>
  </si>
  <si>
    <t>11.3</t>
  </si>
  <si>
    <t>11.4</t>
  </si>
  <si>
    <t>12.1</t>
  </si>
  <si>
    <t>12.2</t>
  </si>
  <si>
    <t>12.3</t>
  </si>
  <si>
    <t>12.4</t>
  </si>
  <si>
    <t>12.6</t>
  </si>
  <si>
    <t>12.7</t>
  </si>
  <si>
    <t>13.1</t>
  </si>
  <si>
    <t>13.2</t>
  </si>
  <si>
    <t>13.3</t>
  </si>
  <si>
    <t>14.5</t>
  </si>
  <si>
    <t>14.6</t>
  </si>
  <si>
    <t>14.7</t>
  </si>
  <si>
    <t>14.8</t>
  </si>
  <si>
    <t>14.9</t>
  </si>
  <si>
    <t>14.10</t>
  </si>
  <si>
    <t>15.1</t>
  </si>
  <si>
    <t>15.2</t>
  </si>
  <si>
    <t>15.3</t>
  </si>
  <si>
    <t>15.4</t>
  </si>
  <si>
    <t>15.5</t>
  </si>
  <si>
    <t>15.6</t>
  </si>
  <si>
    <t>15.7</t>
  </si>
  <si>
    <t>16.4</t>
  </si>
  <si>
    <t>16.5</t>
  </si>
  <si>
    <t>16.6</t>
  </si>
  <si>
    <t>16.7</t>
  </si>
  <si>
    <t>16.8</t>
  </si>
  <si>
    <t>16.9</t>
  </si>
  <si>
    <t>16.10</t>
  </si>
  <si>
    <t>17.1</t>
  </si>
  <si>
    <t>17.2</t>
  </si>
  <si>
    <t>18.1.1</t>
  </si>
  <si>
    <t>18.1.2</t>
  </si>
  <si>
    <t>18.1.3</t>
  </si>
  <si>
    <t>18.1.4</t>
  </si>
  <si>
    <t>18.1.5</t>
  </si>
  <si>
    <t>18.1.6</t>
  </si>
  <si>
    <t>18.1.7</t>
  </si>
  <si>
    <t>18.1.8</t>
  </si>
  <si>
    <t>18.1.9</t>
  </si>
  <si>
    <t>18.1.10</t>
  </si>
  <si>
    <t>18.1.11</t>
  </si>
  <si>
    <t>18.1.12</t>
  </si>
  <si>
    <t>18.1.13</t>
  </si>
  <si>
    <t>18.1.14</t>
  </si>
  <si>
    <t>18.1.15</t>
  </si>
  <si>
    <t>18.1.16</t>
  </si>
  <si>
    <t>18.1.17</t>
  </si>
  <si>
    <t>18.1.18</t>
  </si>
  <si>
    <t>18.1.19</t>
  </si>
  <si>
    <t>18.1.20</t>
  </si>
  <si>
    <t>18.1.21</t>
  </si>
  <si>
    <t>18.1.22</t>
  </si>
  <si>
    <t>18.1.23</t>
  </si>
  <si>
    <t>18.1.24</t>
  </si>
  <si>
    <t>18.1.25</t>
  </si>
  <si>
    <t>18.1.26</t>
  </si>
  <si>
    <t>18.1.27</t>
  </si>
  <si>
    <t>18.1.28</t>
  </si>
  <si>
    <t>18.1.29</t>
  </si>
  <si>
    <t>18.1.30</t>
  </si>
  <si>
    <t>18.1.31</t>
  </si>
  <si>
    <t>18.1.32</t>
  </si>
  <si>
    <t>18.1.33</t>
  </si>
  <si>
    <t>18.1.34</t>
  </si>
  <si>
    <t>18.1.35</t>
  </si>
  <si>
    <t>18.1.36</t>
  </si>
  <si>
    <t>18.1.37</t>
  </si>
  <si>
    <t>18.1.38</t>
  </si>
  <si>
    <t>18.1.39</t>
  </si>
  <si>
    <t>18.1.40</t>
  </si>
  <si>
    <t>18.1.41</t>
  </si>
  <si>
    <t>18.1.42</t>
  </si>
  <si>
    <t>18.1.43</t>
  </si>
  <si>
    <t>18.1.44</t>
  </si>
  <si>
    <t>18.1.45</t>
  </si>
  <si>
    <t>18.1.46</t>
  </si>
  <si>
    <t>18.1.47</t>
  </si>
  <si>
    <t>18.1.48</t>
  </si>
  <si>
    <t>18.2.1</t>
  </si>
  <si>
    <t>18.2.2</t>
  </si>
  <si>
    <t>18.2.3</t>
  </si>
  <si>
    <t>18.2.4</t>
  </si>
  <si>
    <t>18.2.5</t>
  </si>
  <si>
    <t>18.2.6</t>
  </si>
  <si>
    <t>18.2.7</t>
  </si>
  <si>
    <t>18.2.8</t>
  </si>
  <si>
    <t>18.2.9</t>
  </si>
  <si>
    <t>18.2.10</t>
  </si>
  <si>
    <t>18.2.11</t>
  </si>
  <si>
    <t>18.2.12</t>
  </si>
  <si>
    <t>18.2.13</t>
  </si>
  <si>
    <t>18.2.14</t>
  </si>
  <si>
    <t>18.2.15</t>
  </si>
  <si>
    <t>18.2.16</t>
  </si>
  <si>
    <t>18.2.17</t>
  </si>
  <si>
    <t>18.2.18</t>
  </si>
  <si>
    <t>18.2.19</t>
  </si>
  <si>
    <t>18.2.20</t>
  </si>
  <si>
    <t>18.2.21</t>
  </si>
  <si>
    <t>18.3.1</t>
  </si>
  <si>
    <t>18.3.2</t>
  </si>
  <si>
    <t>18.3.3</t>
  </si>
  <si>
    <t>18.3.4</t>
  </si>
  <si>
    <t>18.3.5</t>
  </si>
  <si>
    <t>18.3.6</t>
  </si>
  <si>
    <t>18.3.7</t>
  </si>
  <si>
    <t>18.3.8</t>
  </si>
  <si>
    <t>18.3.9</t>
  </si>
  <si>
    <t>18.3.10</t>
  </si>
  <si>
    <t>18.3.11</t>
  </si>
  <si>
    <t>18.3.12</t>
  </si>
  <si>
    <t>18.3.13</t>
  </si>
  <si>
    <t>18.3.14</t>
  </si>
  <si>
    <t>18.3.15</t>
  </si>
  <si>
    <t>18.3.16</t>
  </si>
  <si>
    <t>18.3.17</t>
  </si>
  <si>
    <t>18.3.18</t>
  </si>
  <si>
    <t>19.1</t>
  </si>
  <si>
    <t>19.1.1</t>
  </si>
  <si>
    <t>19.1.2</t>
  </si>
  <si>
    <t>19.1.3</t>
  </si>
  <si>
    <t>19.1.4</t>
  </si>
  <si>
    <t>19.1.5</t>
  </si>
  <si>
    <t>19.1.6</t>
  </si>
  <si>
    <t>19.1.7</t>
  </si>
  <si>
    <t>19.1.8</t>
  </si>
  <si>
    <t>19.1.9</t>
  </si>
  <si>
    <t>19.1.10</t>
  </si>
  <si>
    <t>19.1.11</t>
  </si>
  <si>
    <t>19.1.12</t>
  </si>
  <si>
    <t>19.1.13</t>
  </si>
  <si>
    <t>19.1.14</t>
  </si>
  <si>
    <t>19.1.15</t>
  </si>
  <si>
    <t>19.1.16</t>
  </si>
  <si>
    <t>19.1.17</t>
  </si>
  <si>
    <t>19.1.18</t>
  </si>
  <si>
    <t>19.1.19</t>
  </si>
  <si>
    <t>19.1.20</t>
  </si>
  <si>
    <t>19.1.21</t>
  </si>
  <si>
    <t>19.1.22</t>
  </si>
  <si>
    <t>19.1.23</t>
  </si>
  <si>
    <t>19.1.24</t>
  </si>
  <si>
    <t>19.1.25</t>
  </si>
  <si>
    <t>19.1.26</t>
  </si>
  <si>
    <t>19.1.27</t>
  </si>
  <si>
    <t>19.1.28</t>
  </si>
  <si>
    <t>19.1.29</t>
  </si>
  <si>
    <t>19.1.30</t>
  </si>
  <si>
    <t>19.1.31</t>
  </si>
  <si>
    <t>19.1.32</t>
  </si>
  <si>
    <t>19.1.33</t>
  </si>
  <si>
    <t>19.1.34</t>
  </si>
  <si>
    <t>19.1.35</t>
  </si>
  <si>
    <t>19.1.36</t>
  </si>
  <si>
    <t>19.1.37</t>
  </si>
  <si>
    <t>19.1.38</t>
  </si>
  <si>
    <t>19.1.39</t>
  </si>
  <si>
    <t>19.1.40</t>
  </si>
  <si>
    <t>19.1.41</t>
  </si>
  <si>
    <t>19.1.42</t>
  </si>
  <si>
    <t>19.1.43</t>
  </si>
  <si>
    <t>19.1.44</t>
  </si>
  <si>
    <t>19.1.45</t>
  </si>
  <si>
    <t>19.1.46</t>
  </si>
  <si>
    <t>19.1.47</t>
  </si>
  <si>
    <t>19.1.48</t>
  </si>
  <si>
    <t>19.1.49</t>
  </si>
  <si>
    <t>19.1.50</t>
  </si>
  <si>
    <t>19.2</t>
  </si>
  <si>
    <t>19.2.1</t>
  </si>
  <si>
    <t>19.2.2</t>
  </si>
  <si>
    <t>19.2.3</t>
  </si>
  <si>
    <t>19.2.4</t>
  </si>
  <si>
    <t>19.2.5</t>
  </si>
  <si>
    <t>19.2.6</t>
  </si>
  <si>
    <t>19.2.7</t>
  </si>
  <si>
    <t>19.2.8</t>
  </si>
  <si>
    <t>19.2.9</t>
  </si>
  <si>
    <t>19.2.10</t>
  </si>
  <si>
    <t>19.2.11</t>
  </si>
  <si>
    <t>19.2.12</t>
  </si>
  <si>
    <t>19.2.13</t>
  </si>
  <si>
    <t>19.2.14</t>
  </si>
  <si>
    <t>19.2.15</t>
  </si>
  <si>
    <t>19.2.16</t>
  </si>
  <si>
    <t>19.2.17</t>
  </si>
  <si>
    <t>19.2.18</t>
  </si>
  <si>
    <t>19.2.19</t>
  </si>
  <si>
    <t>19.2.20</t>
  </si>
  <si>
    <t>19.2.21</t>
  </si>
  <si>
    <t>19.2.22</t>
  </si>
  <si>
    <t>19.2.23</t>
  </si>
  <si>
    <t>19.2.24</t>
  </si>
  <si>
    <t>19.2.25</t>
  </si>
  <si>
    <t>19.2.26</t>
  </si>
  <si>
    <t>19.2.27</t>
  </si>
  <si>
    <t>19.2.28</t>
  </si>
  <si>
    <t>19.2.29</t>
  </si>
  <si>
    <t>19.2.30</t>
  </si>
  <si>
    <t>19.2.31</t>
  </si>
  <si>
    <t>19.2.32</t>
  </si>
  <si>
    <t>19.2.33</t>
  </si>
  <si>
    <t>19.2.34</t>
  </si>
  <si>
    <t>19.3</t>
  </si>
  <si>
    <t>19.3.1</t>
  </si>
  <si>
    <t>19.3.2</t>
  </si>
  <si>
    <t>19.3.3</t>
  </si>
  <si>
    <t>19.3.4</t>
  </si>
  <si>
    <t>19.3.5</t>
  </si>
  <si>
    <t>19.3.6</t>
  </si>
  <si>
    <t>19.3.7</t>
  </si>
  <si>
    <t>19.3.8</t>
  </si>
  <si>
    <t>19.3.9</t>
  </si>
  <si>
    <t>19.3.10</t>
  </si>
  <si>
    <t>19.3.11</t>
  </si>
  <si>
    <t>19.3.12</t>
  </si>
  <si>
    <t>19.3.13</t>
  </si>
  <si>
    <t>19.3.14</t>
  </si>
  <si>
    <t>19.3.15</t>
  </si>
  <si>
    <t>19.3.16</t>
  </si>
  <si>
    <t>19.3.17</t>
  </si>
  <si>
    <t>19.3.18</t>
  </si>
  <si>
    <t>19.3.19</t>
  </si>
  <si>
    <t>19.3.20</t>
  </si>
  <si>
    <t>19.3.21</t>
  </si>
  <si>
    <t>19.3.22</t>
  </si>
  <si>
    <t>19.3.23</t>
  </si>
  <si>
    <t>19.3.24</t>
  </si>
  <si>
    <t>19.3.25</t>
  </si>
  <si>
    <t>20.1</t>
  </si>
  <si>
    <t>20.2</t>
  </si>
  <si>
    <t>20.3</t>
  </si>
  <si>
    <t>20.4</t>
  </si>
  <si>
    <t>20.5</t>
  </si>
  <si>
    <t>20.6</t>
  </si>
  <si>
    <t>20.7</t>
  </si>
  <si>
    <t>20.8</t>
  </si>
  <si>
    <t>20.9</t>
  </si>
  <si>
    <t>20.10</t>
  </si>
  <si>
    <t>20.11</t>
  </si>
  <si>
    <t>20.12</t>
  </si>
  <si>
    <t>20.13</t>
  </si>
  <si>
    <t>20.14</t>
  </si>
  <si>
    <t>20.15</t>
  </si>
  <si>
    <t>20.16</t>
  </si>
  <si>
    <t>20.17</t>
  </si>
  <si>
    <t>21.1</t>
  </si>
  <si>
    <t>21.2</t>
  </si>
  <si>
    <t>21.3</t>
  </si>
  <si>
    <t>22.1</t>
  </si>
  <si>
    <t>22.2</t>
  </si>
  <si>
    <t>22.3</t>
  </si>
  <si>
    <t>22.4</t>
  </si>
  <si>
    <t>22.5</t>
  </si>
  <si>
    <t>22.6</t>
  </si>
  <si>
    <t>23.1</t>
  </si>
  <si>
    <t>23.1.1</t>
  </si>
  <si>
    <t>23.1.2</t>
  </si>
  <si>
    <t>23.1.3</t>
  </si>
  <si>
    <t>23.1.4</t>
  </si>
  <si>
    <t>23.1.5</t>
  </si>
  <si>
    <t>23.1.6</t>
  </si>
  <si>
    <t>23.1.7</t>
  </si>
  <si>
    <t>23.1.8</t>
  </si>
  <si>
    <r>
      <rPr>
        <b/>
        <sz val="8"/>
        <rFont val="Arial"/>
        <family val="2"/>
      </rPr>
      <t xml:space="preserve">BDI ( % ): </t>
    </r>
    <r>
      <rPr>
        <sz val="8"/>
        <rFont val="Arial"/>
        <family val="2"/>
      </rPr>
      <t>24,96</t>
    </r>
  </si>
  <si>
    <r>
      <t>BDI</t>
    </r>
    <r>
      <rPr>
        <b/>
        <vertAlign val="subscript"/>
        <sz val="8"/>
        <rFont val="Arial"/>
        <family val="2"/>
      </rPr>
      <t>equip</t>
    </r>
    <r>
      <rPr>
        <b/>
        <sz val="8"/>
        <rFont val="Arial"/>
        <family val="2"/>
      </rPr>
      <t xml:space="preserve"> ( % ): </t>
    </r>
    <r>
      <rPr>
        <sz val="8"/>
        <rFont val="Arial"/>
        <family val="2"/>
      </rPr>
      <t>10,00</t>
    </r>
  </si>
  <si>
    <r>
      <rPr>
        <b/>
        <sz val="9"/>
        <rFont val="Arial"/>
        <family val="2"/>
      </rPr>
      <t>Obra:</t>
    </r>
    <r>
      <rPr>
        <sz val="9"/>
        <rFont val="Arial"/>
        <family val="2"/>
      </rPr>
      <t xml:space="preserve"> Construção do GINASIO - Campus TABATINGA</t>
    </r>
  </si>
  <si>
    <r>
      <t>Endereço:</t>
    </r>
    <r>
      <rPr>
        <sz val="9"/>
        <rFont val="Arial"/>
        <family val="2"/>
      </rPr>
      <t xml:space="preserve"> AV. Santos Dumont S/N - Expansão - TABATINGA</t>
    </r>
  </si>
  <si>
    <r>
      <rPr>
        <b/>
        <sz val="9"/>
        <rFont val="Arial"/>
        <family val="2"/>
      </rPr>
      <t>Endereço:</t>
    </r>
    <r>
      <rPr>
        <sz val="9"/>
        <rFont val="Arial"/>
        <family val="2"/>
      </rPr>
      <t xml:space="preserve">  AV. Santos Dumont S/N - Expansão - TABATINGA</t>
    </r>
  </si>
  <si>
    <t>12.2.30</t>
  </si>
  <si>
    <r>
      <rPr>
        <b/>
        <sz val="9"/>
        <rFont val="Arial"/>
        <family val="2"/>
      </rPr>
      <t>Obra:</t>
    </r>
    <r>
      <rPr>
        <sz val="9"/>
        <rFont val="Arial"/>
        <family val="2"/>
      </rPr>
      <t xml:space="preserve"> Construção do GINÁSIO - Campus TABATINGA</t>
    </r>
  </si>
  <si>
    <t>IMPORTA O PRESENTE ORÇAMENTO EM TRÊS MILHÕES QUATROCENTOS E VINTE E QUATRO MIL REAIS.</t>
  </si>
  <si>
    <t>Abril/2015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</si>
</sst>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"/>
    <numFmt numFmtId="166" formatCode="0,000"/>
    <numFmt numFmtId="167" formatCode="??"/>
    <numFmt numFmtId="168" formatCode="?,???"/>
    <numFmt numFmtId="169" formatCode="#,##0.000"/>
    <numFmt numFmtId="170" formatCode="0.000"/>
    <numFmt numFmtId="171" formatCode="_-* #,##0.000_-;\-* #,##0.000_-;_-* &quot;-&quot;??_-;_-@_-"/>
    <numFmt numFmtId="172" formatCode="General_)"/>
    <numFmt numFmtId="173" formatCode="_([$€]* #.##0.00_);_([$€]* \(#.##0.00\);_([$€]* &quot;-&quot;??_);_(@_)"/>
    <numFmt numFmtId="174" formatCode="0.00000000000"/>
    <numFmt numFmtId="175" formatCode="0.0%"/>
    <numFmt numFmtId="176" formatCode="0.0000"/>
    <numFmt numFmtId="177" formatCode="0.0000000"/>
  </numFmts>
  <fonts count="9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8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8"/>
      <name val="Helv"/>
      <charset val="204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12"/>
      <name val="Arial"/>
      <family val="2"/>
    </font>
    <font>
      <sz val="8"/>
      <color rgb="FF000000"/>
      <name val="Arial"/>
      <family val="2"/>
    </font>
    <font>
      <sz val="70"/>
      <name val="Century Gothic"/>
      <family val="2"/>
    </font>
    <font>
      <b/>
      <sz val="10"/>
      <color rgb="FF000000"/>
      <name val="Verdana"/>
      <family val="2"/>
    </font>
    <font>
      <b/>
      <sz val="9.9499999999999993"/>
      <color rgb="FF000000"/>
      <name val="Arial"/>
      <family val="2"/>
    </font>
    <font>
      <b/>
      <i/>
      <sz val="9.9499999999999993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Verdana"/>
      <family val="2"/>
    </font>
    <font>
      <sz val="12"/>
      <name val="Arial"/>
      <family val="2"/>
    </font>
    <font>
      <sz val="10"/>
      <name val="Arial"/>
      <family val="2"/>
    </font>
    <font>
      <sz val="12"/>
      <color rgb="FF000000"/>
      <name val="Verdana"/>
      <family val="2"/>
    </font>
    <font>
      <sz val="7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4" tint="-0.499984740745262"/>
      <name val="Arial"/>
      <family val="2"/>
    </font>
    <font>
      <b/>
      <sz val="9.9499999999999993"/>
      <color theme="4" tint="-0.49998474074526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Verdana"/>
      <family val="2"/>
    </font>
    <font>
      <sz val="10"/>
      <color rgb="FF000000"/>
      <name val="Arial"/>
      <family val="2"/>
    </font>
    <font>
      <b/>
      <sz val="8"/>
      <name val="Times New Roman"/>
      <family val="1"/>
    </font>
    <font>
      <i/>
      <sz val="9"/>
      <name val="Arial"/>
      <family val="2"/>
    </font>
    <font>
      <i/>
      <sz val="11"/>
      <color theme="1"/>
      <name val="Calibri"/>
      <family val="2"/>
      <scheme val="minor"/>
    </font>
    <font>
      <i/>
      <sz val="8"/>
      <name val="Arial"/>
      <family val="2"/>
    </font>
    <font>
      <b/>
      <i/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8"/>
      <name val="Arial Narrow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sz val="11"/>
      <color rgb="FF000000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b/>
      <vertAlign val="subscript"/>
      <sz val="8"/>
      <name val="Arial"/>
      <family val="2"/>
    </font>
    <font>
      <b/>
      <sz val="9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0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61">
    <xf numFmtId="0" fontId="0" fillId="0" borderId="0"/>
    <xf numFmtId="0" fontId="17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4" borderId="0" applyNumberFormat="0" applyBorder="0" applyAlignment="0" applyProtection="0"/>
    <xf numFmtId="0" fontId="27" fillId="16" borderId="1" applyNumberFormat="0" applyAlignment="0" applyProtection="0"/>
    <xf numFmtId="0" fontId="28" fillId="17" borderId="2" applyNumberFormat="0" applyAlignment="0" applyProtection="0"/>
    <xf numFmtId="0" fontId="29" fillId="0" borderId="3" applyNumberFormat="0" applyFill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30" fillId="7" borderId="1" applyNumberFormat="0" applyAlignment="0" applyProtection="0"/>
    <xf numFmtId="0" fontId="31" fillId="3" borderId="0" applyNumberFormat="0" applyBorder="0" applyAlignment="0" applyProtection="0"/>
    <xf numFmtId="44" fontId="16" fillId="0" borderId="0" applyFont="0" applyFill="0" applyBorder="0" applyAlignment="0" applyProtection="0"/>
    <xf numFmtId="0" fontId="32" fillId="22" borderId="0" applyNumberFormat="0" applyBorder="0" applyAlignment="0" applyProtection="0"/>
    <xf numFmtId="0" fontId="24" fillId="0" borderId="0"/>
    <xf numFmtId="0" fontId="24" fillId="23" borderId="4" applyNumberFormat="0" applyFont="0" applyAlignment="0" applyProtection="0"/>
    <xf numFmtId="0" fontId="33" fillId="16" borderId="5" applyNumberFormat="0" applyAlignment="0" applyProtection="0"/>
    <xf numFmtId="43" fontId="1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9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16" fillId="0" borderId="0"/>
    <xf numFmtId="0" fontId="47" fillId="0" borderId="0"/>
    <xf numFmtId="0" fontId="16" fillId="0" borderId="0"/>
    <xf numFmtId="9" fontId="60" fillId="0" borderId="0" applyFont="0" applyFill="0" applyBorder="0" applyAlignment="0" applyProtection="0"/>
    <xf numFmtId="0" fontId="15" fillId="0" borderId="0"/>
    <xf numFmtId="173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1" fillId="0" borderId="0"/>
    <xf numFmtId="0" fontId="14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6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4" borderId="0" applyNumberFormat="0" applyBorder="0" applyAlignment="0" applyProtection="0"/>
    <xf numFmtId="0" fontId="27" fillId="16" borderId="1" applyNumberFormat="0" applyAlignment="0" applyProtection="0"/>
    <xf numFmtId="0" fontId="28" fillId="17" borderId="2" applyNumberFormat="0" applyAlignment="0" applyProtection="0"/>
    <xf numFmtId="0" fontId="29" fillId="0" borderId="3" applyNumberFormat="0" applyFill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30" fillId="7" borderId="1" applyNumberFormat="0" applyAlignment="0" applyProtection="0"/>
    <xf numFmtId="0" fontId="31" fillId="3" borderId="0" applyNumberFormat="0" applyBorder="0" applyAlignment="0" applyProtection="0"/>
    <xf numFmtId="44" fontId="1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2" fillId="22" borderId="0" applyNumberFormat="0" applyBorder="0" applyAlignment="0" applyProtection="0"/>
    <xf numFmtId="0" fontId="6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23" borderId="4" applyNumberFormat="0" applyFon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9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0" fillId="0" borderId="9" applyNumberFormat="0" applyFill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" fontId="80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8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098">
    <xf numFmtId="0" fontId="0" fillId="0" borderId="0" xfId="0"/>
    <xf numFmtId="0" fontId="18" fillId="0" borderId="10" xfId="0" applyFont="1" applyFill="1" applyBorder="1" applyAlignment="1">
      <alignment vertical="center" wrapText="1"/>
    </xf>
    <xf numFmtId="43" fontId="0" fillId="0" borderId="0" xfId="37" applyFont="1"/>
    <xf numFmtId="0" fontId="0" fillId="0" borderId="0" xfId="0" applyAlignment="1">
      <alignment horizontal="center"/>
    </xf>
    <xf numFmtId="0" fontId="16" fillId="0" borderId="0" xfId="0" applyFont="1"/>
    <xf numFmtId="43" fontId="0" fillId="0" borderId="10" xfId="37" applyFont="1" applyBorder="1"/>
    <xf numFmtId="43" fontId="16" fillId="0" borderId="10" xfId="37" applyFont="1" applyBorder="1"/>
    <xf numFmtId="0" fontId="0" fillId="0" borderId="16" xfId="0" applyBorder="1"/>
    <xf numFmtId="0" fontId="16" fillId="0" borderId="16" xfId="0" applyFont="1" applyBorder="1"/>
    <xf numFmtId="0" fontId="0" fillId="0" borderId="18" xfId="0" applyBorder="1"/>
    <xf numFmtId="43" fontId="0" fillId="0" borderId="19" xfId="37" applyFont="1" applyBorder="1"/>
    <xf numFmtId="0" fontId="16" fillId="0" borderId="18" xfId="0" applyFont="1" applyBorder="1"/>
    <xf numFmtId="43" fontId="0" fillId="0" borderId="22" xfId="37" applyFont="1" applyBorder="1"/>
    <xf numFmtId="43" fontId="21" fillId="0" borderId="22" xfId="37" applyFont="1" applyBorder="1" applyAlignment="1">
      <alignment horizontal="center"/>
    </xf>
    <xf numFmtId="43" fontId="16" fillId="0" borderId="22" xfId="37" applyFont="1" applyBorder="1" applyAlignment="1">
      <alignment horizontal="center"/>
    </xf>
    <xf numFmtId="43" fontId="0" fillId="24" borderId="25" xfId="37" applyFont="1" applyFill="1" applyBorder="1"/>
    <xf numFmtId="0" fontId="16" fillId="24" borderId="26" xfId="0" applyFont="1" applyFill="1" applyBorder="1"/>
    <xf numFmtId="43" fontId="21" fillId="0" borderId="22" xfId="37" applyFont="1" applyBorder="1"/>
    <xf numFmtId="43" fontId="0" fillId="24" borderId="27" xfId="37" applyFont="1" applyFill="1" applyBorder="1"/>
    <xf numFmtId="43" fontId="16" fillId="24" borderId="27" xfId="37" applyFont="1" applyFill="1" applyBorder="1"/>
    <xf numFmtId="43" fontId="16" fillId="24" borderId="10" xfId="37" applyFont="1" applyFill="1" applyBorder="1"/>
    <xf numFmtId="0" fontId="16" fillId="0" borderId="21" xfId="0" applyFont="1" applyBorder="1"/>
    <xf numFmtId="0" fontId="16" fillId="24" borderId="24" xfId="0" applyFont="1" applyFill="1" applyBorder="1"/>
    <xf numFmtId="0" fontId="16" fillId="0" borderId="10" xfId="0" applyFont="1" applyFill="1" applyBorder="1" applyAlignment="1">
      <alignment horizontal="left"/>
    </xf>
    <xf numFmtId="0" fontId="16" fillId="24" borderId="31" xfId="0" applyFont="1" applyFill="1" applyBorder="1" applyAlignment="1">
      <alignment horizontal="center"/>
    </xf>
    <xf numFmtId="43" fontId="16" fillId="24" borderId="28" xfId="37" applyFont="1" applyFill="1" applyBorder="1" applyAlignment="1">
      <alignment horizontal="center"/>
    </xf>
    <xf numFmtId="43" fontId="0" fillId="0" borderId="17" xfId="37" applyFont="1" applyBorder="1" applyAlignment="1">
      <alignment horizontal="center"/>
    </xf>
    <xf numFmtId="43" fontId="0" fillId="0" borderId="10" xfId="37" applyFont="1" applyBorder="1" applyAlignment="1">
      <alignment horizontal="center"/>
    </xf>
    <xf numFmtId="43" fontId="21" fillId="0" borderId="0" xfId="37" applyFont="1" applyAlignment="1">
      <alignment horizontal="center"/>
    </xf>
    <xf numFmtId="0" fontId="16" fillId="0" borderId="10" xfId="0" applyFont="1" applyFill="1" applyBorder="1" applyAlignment="1">
      <alignment horizontal="center"/>
    </xf>
    <xf numFmtId="43" fontId="0" fillId="0" borderId="10" xfId="37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43" fontId="0" fillId="0" borderId="0" xfId="0" applyNumberFormat="1" applyAlignment="1">
      <alignment horizontal="center"/>
    </xf>
    <xf numFmtId="43" fontId="16" fillId="0" borderId="10" xfId="37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24" borderId="16" xfId="0" applyFont="1" applyFill="1" applyBorder="1" applyAlignment="1">
      <alignment horizontal="center"/>
    </xf>
    <xf numFmtId="43" fontId="16" fillId="24" borderId="17" xfId="37" applyFont="1" applyFill="1" applyBorder="1"/>
    <xf numFmtId="43" fontId="0" fillId="0" borderId="17" xfId="37" applyFont="1" applyBorder="1"/>
    <xf numFmtId="43" fontId="21" fillId="0" borderId="20" xfId="37" applyFont="1" applyBorder="1"/>
    <xf numFmtId="43" fontId="21" fillId="0" borderId="0" xfId="37" applyFont="1"/>
    <xf numFmtId="43" fontId="20" fillId="0" borderId="10" xfId="37" applyFont="1" applyFill="1" applyBorder="1" applyAlignment="1">
      <alignment horizontal="left" vertical="center"/>
    </xf>
    <xf numFmtId="0" fontId="0" fillId="0" borderId="22" xfId="0" applyFill="1" applyBorder="1" applyAlignment="1">
      <alignment horizontal="center"/>
    </xf>
    <xf numFmtId="43" fontId="0" fillId="0" borderId="22" xfId="37" applyFont="1" applyFill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17" xfId="0" applyFont="1" applyBorder="1"/>
    <xf numFmtId="0" fontId="21" fillId="0" borderId="23" xfId="0" applyFon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164" fontId="21" fillId="0" borderId="22" xfId="0" applyNumberFormat="1" applyFont="1" applyBorder="1" applyAlignment="1">
      <alignment horizontal="center"/>
    </xf>
    <xf numFmtId="0" fontId="16" fillId="24" borderId="35" xfId="0" applyFont="1" applyFill="1" applyBorder="1" applyAlignment="1">
      <alignment horizontal="center"/>
    </xf>
    <xf numFmtId="43" fontId="0" fillId="0" borderId="19" xfId="37" applyFont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0" fontId="16" fillId="0" borderId="26" xfId="0" applyFont="1" applyBorder="1"/>
    <xf numFmtId="43" fontId="0" fillId="0" borderId="27" xfId="37" applyFont="1" applyBorder="1"/>
    <xf numFmtId="43" fontId="0" fillId="0" borderId="28" xfId="37" applyFont="1" applyBorder="1"/>
    <xf numFmtId="43" fontId="0" fillId="0" borderId="20" xfId="37" applyFont="1" applyBorder="1"/>
    <xf numFmtId="43" fontId="16" fillId="0" borderId="10" xfId="37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43" fontId="0" fillId="0" borderId="10" xfId="37" applyFont="1" applyBorder="1" applyAlignment="1">
      <alignment horizontal="right"/>
    </xf>
    <xf numFmtId="43" fontId="44" fillId="0" borderId="0" xfId="37" applyFont="1"/>
    <xf numFmtId="43" fontId="44" fillId="0" borderId="10" xfId="37" applyFont="1" applyBorder="1"/>
    <xf numFmtId="43" fontId="44" fillId="0" borderId="19" xfId="37" applyFont="1" applyBorder="1"/>
    <xf numFmtId="43" fontId="45" fillId="0" borderId="0" xfId="37" applyFont="1"/>
    <xf numFmtId="0" fontId="44" fillId="0" borderId="0" xfId="0" applyFont="1"/>
    <xf numFmtId="0" fontId="0" fillId="0" borderId="10" xfId="0" applyBorder="1" applyAlignment="1">
      <alignment horizontal="center"/>
    </xf>
    <xf numFmtId="164" fontId="44" fillId="0" borderId="10" xfId="0" applyNumberFormat="1" applyFont="1" applyFill="1" applyBorder="1"/>
    <xf numFmtId="0" fontId="0" fillId="0" borderId="22" xfId="0" applyFill="1" applyBorder="1"/>
    <xf numFmtId="0" fontId="16" fillId="0" borderId="22" xfId="0" applyFont="1" applyFill="1" applyBorder="1" applyAlignment="1">
      <alignment horizontal="center"/>
    </xf>
    <xf numFmtId="164" fontId="44" fillId="0" borderId="22" xfId="0" applyNumberFormat="1" applyFont="1" applyFill="1" applyBorder="1"/>
    <xf numFmtId="0" fontId="0" fillId="0" borderId="22" xfId="0" applyBorder="1" applyAlignment="1">
      <alignment horizontal="center"/>
    </xf>
    <xf numFmtId="0" fontId="16" fillId="24" borderId="19" xfId="0" applyFont="1" applyFill="1" applyBorder="1" applyAlignment="1">
      <alignment horizontal="center"/>
    </xf>
    <xf numFmtId="43" fontId="16" fillId="24" borderId="19" xfId="37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43" fontId="0" fillId="0" borderId="22" xfId="37" applyFont="1" applyBorder="1" applyAlignment="1">
      <alignment horizontal="center"/>
    </xf>
    <xf numFmtId="0" fontId="0" fillId="0" borderId="11" xfId="0" applyBorder="1"/>
    <xf numFmtId="0" fontId="16" fillId="24" borderId="32" xfId="0" applyFont="1" applyFill="1" applyBorder="1"/>
    <xf numFmtId="0" fontId="0" fillId="24" borderId="38" xfId="0" applyFill="1" applyBorder="1"/>
    <xf numFmtId="0" fontId="16" fillId="24" borderId="28" xfId="0" applyFont="1" applyFill="1" applyBorder="1"/>
    <xf numFmtId="0" fontId="16" fillId="0" borderId="39" xfId="0" applyFont="1" applyBorder="1"/>
    <xf numFmtId="0" fontId="16" fillId="0" borderId="40" xfId="0" applyFont="1" applyBorder="1"/>
    <xf numFmtId="0" fontId="0" fillId="0" borderId="41" xfId="0" applyBorder="1"/>
    <xf numFmtId="43" fontId="16" fillId="24" borderId="27" xfId="37" applyFont="1" applyFill="1" applyBorder="1" applyAlignment="1">
      <alignment horizontal="center"/>
    </xf>
    <xf numFmtId="43" fontId="44" fillId="24" borderId="27" xfId="37" applyFont="1" applyFill="1" applyBorder="1" applyAlignment="1">
      <alignment horizontal="center"/>
    </xf>
    <xf numFmtId="0" fontId="16" fillId="24" borderId="28" xfId="0" applyFont="1" applyFill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24" borderId="28" xfId="0" applyFont="1" applyFill="1" applyBorder="1" applyAlignment="1">
      <alignment horizontal="center"/>
    </xf>
    <xf numFmtId="0" fontId="0" fillId="0" borderId="0" xfId="0" applyFill="1"/>
    <xf numFmtId="4" fontId="46" fillId="0" borderId="42" xfId="0" applyNumberFormat="1" applyFont="1" applyFill="1" applyBorder="1" applyAlignment="1">
      <alignment horizontal="left"/>
    </xf>
    <xf numFmtId="4" fontId="43" fillId="0" borderId="42" xfId="0" applyNumberFormat="1" applyFont="1" applyFill="1" applyBorder="1" applyAlignment="1">
      <alignment horizontal="center"/>
    </xf>
    <xf numFmtId="4" fontId="43" fillId="0" borderId="0" xfId="0" applyNumberFormat="1" applyFont="1" applyFill="1" applyAlignment="1">
      <alignment horizontal="center"/>
    </xf>
    <xf numFmtId="4" fontId="46" fillId="0" borderId="43" xfId="0" applyNumberFormat="1" applyFont="1" applyFill="1" applyBorder="1" applyAlignment="1">
      <alignment horizontal="left"/>
    </xf>
    <xf numFmtId="4" fontId="46" fillId="0" borderId="0" xfId="0" applyNumberFormat="1" applyFont="1" applyFill="1" applyBorder="1" applyAlignment="1">
      <alignment horizontal="left"/>
    </xf>
    <xf numFmtId="4" fontId="46" fillId="0" borderId="0" xfId="0" applyNumberFormat="1" applyFont="1" applyFill="1" applyAlignment="1">
      <alignment horizontal="left"/>
    </xf>
    <xf numFmtId="4" fontId="46" fillId="0" borderId="0" xfId="0" applyNumberFormat="1" applyFont="1" applyFill="1" applyBorder="1" applyAlignment="1">
      <alignment horizontal="center"/>
    </xf>
    <xf numFmtId="4" fontId="43" fillId="0" borderId="0" xfId="0" applyNumberFormat="1" applyFont="1" applyFill="1" applyBorder="1" applyAlignment="1">
      <alignment horizontal="center"/>
    </xf>
    <xf numFmtId="4" fontId="43" fillId="0" borderId="0" xfId="0" applyNumberFormat="1" applyFont="1" applyFill="1" applyAlignment="1">
      <alignment horizontal="left"/>
    </xf>
    <xf numFmtId="4" fontId="43" fillId="0" borderId="43" xfId="0" applyNumberFormat="1" applyFont="1" applyFill="1" applyBorder="1" applyAlignment="1">
      <alignment horizontal="center"/>
    </xf>
    <xf numFmtId="4" fontId="46" fillId="0" borderId="0" xfId="0" applyNumberFormat="1" applyFont="1" applyFill="1" applyAlignment="1">
      <alignment horizontal="center"/>
    </xf>
    <xf numFmtId="4" fontId="43" fillId="0" borderId="12" xfId="0" applyNumberFormat="1" applyFont="1" applyFill="1" applyBorder="1" applyAlignment="1">
      <alignment horizontal="center"/>
    </xf>
    <xf numFmtId="4" fontId="43" fillId="0" borderId="14" xfId="0" applyNumberFormat="1" applyFont="1" applyFill="1" applyBorder="1" applyAlignment="1">
      <alignment horizontal="center"/>
    </xf>
    <xf numFmtId="4" fontId="43" fillId="0" borderId="13" xfId="0" applyNumberFormat="1" applyFont="1" applyFill="1" applyBorder="1" applyAlignment="1">
      <alignment horizontal="center"/>
    </xf>
    <xf numFmtId="4" fontId="43" fillId="0" borderId="30" xfId="0" applyNumberFormat="1" applyFont="1" applyFill="1" applyBorder="1" applyAlignment="1">
      <alignment horizontal="center"/>
    </xf>
    <xf numFmtId="4" fontId="43" fillId="0" borderId="29" xfId="0" applyNumberFormat="1" applyFont="1" applyFill="1" applyBorder="1" applyAlignment="1">
      <alignment horizontal="center"/>
    </xf>
    <xf numFmtId="4" fontId="43" fillId="0" borderId="22" xfId="0" applyNumberFormat="1" applyFont="1" applyFill="1" applyBorder="1" applyAlignment="1">
      <alignment horizontal="center"/>
    </xf>
    <xf numFmtId="4" fontId="43" fillId="0" borderId="10" xfId="0" applyNumberFormat="1" applyFont="1" applyFill="1" applyBorder="1" applyAlignment="1">
      <alignment horizontal="center"/>
    </xf>
    <xf numFmtId="4" fontId="43" fillId="0" borderId="10" xfId="0" applyNumberFormat="1" applyFont="1" applyFill="1" applyBorder="1"/>
    <xf numFmtId="4" fontId="43" fillId="0" borderId="44" xfId="0" applyNumberFormat="1" applyFont="1" applyFill="1" applyBorder="1" applyAlignment="1">
      <alignment horizontal="left"/>
    </xf>
    <xf numFmtId="4" fontId="43" fillId="0" borderId="15" xfId="0" applyNumberFormat="1" applyFont="1" applyFill="1" applyBorder="1" applyAlignment="1">
      <alignment horizontal="left"/>
    </xf>
    <xf numFmtId="4" fontId="43" fillId="0" borderId="15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 wrapText="1"/>
    </xf>
    <xf numFmtId="0" fontId="42" fillId="0" borderId="10" xfId="0" applyFont="1" applyFill="1" applyBorder="1" applyAlignment="1">
      <alignment horizontal="center" vertical="center"/>
    </xf>
    <xf numFmtId="43" fontId="42" fillId="0" borderId="10" xfId="37" applyFont="1" applyFill="1" applyBorder="1" applyAlignment="1">
      <alignment horizontal="center" vertical="center"/>
    </xf>
    <xf numFmtId="43" fontId="22" fillId="0" borderId="10" xfId="37" applyFont="1" applyFill="1" applyBorder="1" applyAlignment="1">
      <alignment horizontal="left" vertical="center"/>
    </xf>
    <xf numFmtId="43" fontId="20" fillId="0" borderId="10" xfId="37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166" fontId="18" fillId="0" borderId="10" xfId="0" applyNumberFormat="1" applyFont="1" applyFill="1" applyBorder="1" applyAlignment="1">
      <alignment horizontal="center" vertical="center"/>
    </xf>
    <xf numFmtId="168" fontId="18" fillId="0" borderId="10" xfId="0" applyNumberFormat="1" applyFont="1" applyFill="1" applyBorder="1" applyAlignment="1">
      <alignment horizontal="center" vertical="center"/>
    </xf>
    <xf numFmtId="168" fontId="42" fillId="0" borderId="10" xfId="0" applyNumberFormat="1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vertical="center" wrapText="1"/>
    </xf>
    <xf numFmtId="0" fontId="42" fillId="0" borderId="0" xfId="0" applyFont="1" applyFill="1" applyAlignment="1">
      <alignment vertical="center"/>
    </xf>
    <xf numFmtId="43" fontId="16" fillId="0" borderId="17" xfId="37" applyFont="1" applyBorder="1"/>
    <xf numFmtId="4" fontId="43" fillId="0" borderId="44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50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left" vertical="center"/>
    </xf>
    <xf numFmtId="43" fontId="18" fillId="0" borderId="0" xfId="37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65" fontId="42" fillId="0" borderId="10" xfId="0" applyNumberFormat="1" applyFont="1" applyFill="1" applyBorder="1" applyAlignment="1">
      <alignment horizontal="center" vertical="center"/>
    </xf>
    <xf numFmtId="167" fontId="42" fillId="0" borderId="10" xfId="0" applyNumberFormat="1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43" fontId="23" fillId="0" borderId="10" xfId="37" applyFont="1" applyFill="1" applyBorder="1" applyAlignment="1">
      <alignment horizontal="left" vertical="center"/>
    </xf>
    <xf numFmtId="168" fontId="42" fillId="0" borderId="10" xfId="1" applyNumberFormat="1" applyFont="1" applyFill="1" applyBorder="1" applyAlignment="1">
      <alignment horizontal="center" vertical="center"/>
    </xf>
    <xf numFmtId="0" fontId="42" fillId="0" borderId="10" xfId="1" applyFont="1" applyFill="1" applyBorder="1" applyAlignment="1">
      <alignment vertical="center" wrapText="1"/>
    </xf>
    <xf numFmtId="0" fontId="18" fillId="0" borderId="10" xfId="1" applyFont="1" applyFill="1" applyBorder="1" applyAlignment="1">
      <alignment horizontal="center" vertical="center"/>
    </xf>
    <xf numFmtId="168" fontId="18" fillId="0" borderId="10" xfId="1" applyNumberFormat="1" applyFont="1" applyFill="1" applyBorder="1" applyAlignment="1">
      <alignment horizontal="center" vertical="center"/>
    </xf>
    <xf numFmtId="43" fontId="18" fillId="0" borderId="10" xfId="37" applyFont="1" applyFill="1" applyBorder="1" applyAlignment="1">
      <alignment vertical="center" wrapText="1"/>
    </xf>
    <xf numFmtId="0" fontId="42" fillId="0" borderId="1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49" fontId="18" fillId="0" borderId="0" xfId="32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43" fontId="20" fillId="0" borderId="0" xfId="37" applyFont="1" applyFill="1" applyAlignment="1">
      <alignment horizontal="left" vertical="center"/>
    </xf>
    <xf numFmtId="0" fontId="46" fillId="0" borderId="10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 wrapText="1"/>
    </xf>
    <xf numFmtId="43" fontId="46" fillId="0" borderId="10" xfId="37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 wrapText="1"/>
    </xf>
    <xf numFmtId="0" fontId="5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3" fontId="16" fillId="0" borderId="0" xfId="37" applyFont="1" applyFill="1" applyAlignment="1">
      <alignment horizontal="right" vertical="center"/>
    </xf>
    <xf numFmtId="43" fontId="18" fillId="0" borderId="0" xfId="37" applyFont="1" applyFill="1" applyBorder="1" applyAlignment="1">
      <alignment vertical="center"/>
    </xf>
    <xf numFmtId="43" fontId="21" fillId="0" borderId="20" xfId="37" applyFont="1" applyFill="1" applyBorder="1" applyAlignment="1">
      <alignment horizontal="right" vertical="center"/>
    </xf>
    <xf numFmtId="43" fontId="16" fillId="0" borderId="0" xfId="0" applyNumberFormat="1" applyFont="1" applyFill="1" applyAlignment="1">
      <alignment vertical="center"/>
    </xf>
    <xf numFmtId="43" fontId="16" fillId="0" borderId="0" xfId="37" applyFont="1" applyFill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57" fillId="0" borderId="0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left" vertical="center" wrapText="1"/>
    </xf>
    <xf numFmtId="0" fontId="55" fillId="26" borderId="50" xfId="0" applyFont="1" applyFill="1" applyBorder="1" applyAlignment="1">
      <alignment horizontal="center" vertical="center" wrapText="1"/>
    </xf>
    <xf numFmtId="43" fontId="55" fillId="26" borderId="51" xfId="37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 vertical="center"/>
    </xf>
    <xf numFmtId="43" fontId="21" fillId="0" borderId="23" xfId="37" applyFont="1" applyFill="1" applyBorder="1" applyAlignment="1">
      <alignment horizontal="right" vertical="center"/>
    </xf>
    <xf numFmtId="49" fontId="18" fillId="0" borderId="21" xfId="32" applyNumberFormat="1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vertical="center" wrapText="1"/>
    </xf>
    <xf numFmtId="0" fontId="42" fillId="0" borderId="22" xfId="0" applyFont="1" applyFill="1" applyBorder="1" applyAlignment="1">
      <alignment horizontal="center" vertical="center"/>
    </xf>
    <xf numFmtId="43" fontId="42" fillId="0" borderId="22" xfId="37" applyFont="1" applyFill="1" applyBorder="1" applyAlignment="1">
      <alignment horizontal="center" vertical="center"/>
    </xf>
    <xf numFmtId="43" fontId="18" fillId="0" borderId="22" xfId="37" applyFont="1" applyFill="1" applyBorder="1" applyAlignment="1">
      <alignment horizontal="center" vertical="center"/>
    </xf>
    <xf numFmtId="43" fontId="18" fillId="0" borderId="23" xfId="37" applyFont="1" applyFill="1" applyBorder="1" applyAlignment="1">
      <alignment horizontal="center" vertical="center"/>
    </xf>
    <xf numFmtId="49" fontId="46" fillId="26" borderId="24" xfId="32" applyNumberFormat="1" applyFont="1" applyFill="1" applyBorder="1" applyAlignment="1">
      <alignment horizontal="center" vertical="center" wrapText="1"/>
    </xf>
    <xf numFmtId="0" fontId="46" fillId="26" borderId="25" xfId="0" applyFont="1" applyFill="1" applyBorder="1" applyAlignment="1">
      <alignment horizontal="center" vertical="center"/>
    </xf>
    <xf numFmtId="0" fontId="46" fillId="26" borderId="25" xfId="0" applyFont="1" applyFill="1" applyBorder="1" applyAlignment="1">
      <alignment horizontal="center" vertical="center" wrapText="1"/>
    </xf>
    <xf numFmtId="43" fontId="46" fillId="26" borderId="25" xfId="37" applyFont="1" applyFill="1" applyBorder="1" applyAlignment="1">
      <alignment horizontal="center" vertical="center"/>
    </xf>
    <xf numFmtId="43" fontId="46" fillId="26" borderId="25" xfId="37" applyFont="1" applyFill="1" applyBorder="1" applyAlignment="1">
      <alignment horizontal="center" vertical="center" wrapText="1"/>
    </xf>
    <xf numFmtId="43" fontId="46" fillId="26" borderId="52" xfId="37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171" fontId="0" fillId="0" borderId="10" xfId="37" applyNumberFormat="1" applyFont="1" applyBorder="1" applyAlignment="1">
      <alignment horizontal="center" vertical="center" wrapText="1"/>
    </xf>
    <xf numFmtId="0" fontId="16" fillId="0" borderId="10" xfId="0" applyNumberFormat="1" applyFont="1" applyBorder="1" applyAlignment="1">
      <alignment horizontal="center"/>
    </xf>
    <xf numFmtId="171" fontId="0" fillId="0" borderId="10" xfId="37" applyNumberFormat="1" applyFont="1" applyBorder="1"/>
    <xf numFmtId="4" fontId="43" fillId="0" borderId="0" xfId="0" applyNumberFormat="1" applyFont="1" applyFill="1"/>
    <xf numFmtId="172" fontId="43" fillId="0" borderId="0" xfId="0" applyNumberFormat="1" applyFont="1" applyFill="1"/>
    <xf numFmtId="4" fontId="43" fillId="0" borderId="22" xfId="0" applyNumberFormat="1" applyFont="1" applyFill="1" applyBorder="1" applyAlignment="1">
      <alignment horizontal="center" wrapText="1"/>
    </xf>
    <xf numFmtId="4" fontId="43" fillId="0" borderId="0" xfId="0" applyNumberFormat="1" applyFont="1" applyFill="1" applyBorder="1" applyAlignment="1">
      <alignment horizontal="left"/>
    </xf>
    <xf numFmtId="171" fontId="0" fillId="0" borderId="0" xfId="37" applyNumberFormat="1" applyFont="1"/>
    <xf numFmtId="43" fontId="18" fillId="0" borderId="0" xfId="0" applyNumberFormat="1" applyFont="1" applyFill="1" applyAlignment="1">
      <alignment vertical="center"/>
    </xf>
    <xf numFmtId="0" fontId="18" fillId="0" borderId="10" xfId="34" applyFont="1" applyFill="1" applyBorder="1" applyAlignment="1">
      <alignment horizontal="center" vertical="center"/>
    </xf>
    <xf numFmtId="4" fontId="18" fillId="0" borderId="10" xfId="32" applyNumberFormat="1" applyFont="1" applyFill="1" applyBorder="1" applyAlignment="1">
      <alignment horizontal="center" vertical="center"/>
    </xf>
    <xf numFmtId="0" fontId="18" fillId="0" borderId="10" xfId="47" applyFont="1" applyFill="1" applyBorder="1" applyAlignment="1">
      <alignment horizontal="center" vertical="center" wrapText="1"/>
    </xf>
    <xf numFmtId="0" fontId="52" fillId="0" borderId="10" xfId="0" applyFont="1" applyFill="1" applyBorder="1" applyAlignment="1">
      <alignment horizontal="left" vertical="center" wrapText="1"/>
    </xf>
    <xf numFmtId="167" fontId="18" fillId="0" borderId="10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justify" vertical="center" wrapText="1"/>
    </xf>
    <xf numFmtId="0" fontId="16" fillId="0" borderId="10" xfId="0" applyFont="1" applyBorder="1" applyAlignment="1">
      <alignment horizontal="center"/>
    </xf>
    <xf numFmtId="43" fontId="21" fillId="0" borderId="53" xfId="37" applyFont="1" applyFill="1" applyBorder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49" fontId="18" fillId="0" borderId="10" xfId="32" applyNumberFormat="1" applyFont="1" applyFill="1" applyBorder="1" applyAlignment="1">
      <alignment horizontal="center" vertical="center"/>
    </xf>
    <xf numFmtId="43" fontId="0" fillId="0" borderId="10" xfId="37" applyFont="1" applyBorder="1"/>
    <xf numFmtId="0" fontId="0" fillId="0" borderId="10" xfId="0" applyBorder="1"/>
    <xf numFmtId="0" fontId="16" fillId="0" borderId="10" xfId="0" applyFont="1" applyFill="1" applyBorder="1"/>
    <xf numFmtId="0" fontId="0" fillId="0" borderId="10" xfId="0" applyFill="1" applyBorder="1"/>
    <xf numFmtId="0" fontId="21" fillId="0" borderId="10" xfId="0" applyFont="1" applyBorder="1"/>
    <xf numFmtId="43" fontId="21" fillId="0" borderId="10" xfId="37" applyFont="1" applyBorder="1"/>
    <xf numFmtId="43" fontId="43" fillId="0" borderId="10" xfId="37" applyFont="1" applyFill="1" applyBorder="1" applyAlignment="1">
      <alignment horizontal="center"/>
    </xf>
    <xf numFmtId="43" fontId="0" fillId="0" borderId="10" xfId="37" applyFont="1" applyFill="1" applyBorder="1"/>
    <xf numFmtId="43" fontId="0" fillId="0" borderId="0" xfId="37" applyFont="1" applyFill="1"/>
    <xf numFmtId="0" fontId="16" fillId="0" borderId="10" xfId="0" applyFont="1" applyBorder="1"/>
    <xf numFmtId="43" fontId="16" fillId="0" borderId="10" xfId="37" applyFont="1" applyFill="1" applyBorder="1"/>
    <xf numFmtId="43" fontId="43" fillId="0" borderId="10" xfId="37" applyFont="1" applyFill="1" applyBorder="1" applyAlignment="1">
      <alignment horizontal="center"/>
    </xf>
    <xf numFmtId="43" fontId="20" fillId="0" borderId="10" xfId="37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43" fontId="18" fillId="0" borderId="10" xfId="37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horizontal="left" vertical="top" wrapText="1"/>
    </xf>
    <xf numFmtId="0" fontId="52" fillId="0" borderId="0" xfId="0" applyFont="1" applyFill="1" applyBorder="1" applyAlignment="1">
      <alignment horizontal="center" vertical="top" wrapText="1"/>
    </xf>
    <xf numFmtId="169" fontId="52" fillId="0" borderId="0" xfId="0" applyNumberFormat="1" applyFont="1" applyFill="1" applyBorder="1" applyAlignment="1">
      <alignment horizontal="right" vertical="top" wrapText="1"/>
    </xf>
    <xf numFmtId="0" fontId="16" fillId="0" borderId="10" xfId="0" applyFont="1" applyBorder="1" applyAlignment="1">
      <alignment horizontal="center"/>
    </xf>
    <xf numFmtId="0" fontId="0" fillId="0" borderId="16" xfId="0" applyBorder="1" applyAlignment="1">
      <alignment horizontal="left" vertical="center"/>
    </xf>
    <xf numFmtId="43" fontId="0" fillId="0" borderId="12" xfId="37" applyFont="1" applyBorder="1"/>
    <xf numFmtId="0" fontId="42" fillId="0" borderId="10" xfId="0" applyFont="1" applyFill="1" applyBorder="1" applyAlignment="1">
      <alignment horizontal="left" vertical="center" wrapText="1"/>
    </xf>
    <xf numFmtId="164" fontId="0" fillId="0" borderId="0" xfId="0" applyNumberFormat="1" applyFill="1"/>
    <xf numFmtId="0" fontId="16" fillId="0" borderId="16" xfId="0" applyFont="1" applyFill="1" applyBorder="1"/>
    <xf numFmtId="43" fontId="16" fillId="0" borderId="20" xfId="0" applyNumberFormat="1" applyFont="1" applyBorder="1"/>
    <xf numFmtId="49" fontId="18" fillId="0" borderId="0" xfId="32" applyNumberFormat="1" applyFont="1" applyFill="1" applyBorder="1" applyAlignment="1">
      <alignment horizontal="center" vertical="center"/>
    </xf>
    <xf numFmtId="168" fontId="18" fillId="0" borderId="0" xfId="0" applyNumberFormat="1" applyFont="1" applyFill="1" applyBorder="1" applyAlignment="1">
      <alignment horizontal="center" vertical="center"/>
    </xf>
    <xf numFmtId="43" fontId="18" fillId="0" borderId="0" xfId="37" applyFont="1" applyFill="1" applyBorder="1" applyAlignment="1">
      <alignment horizontal="center" vertical="center"/>
    </xf>
    <xf numFmtId="0" fontId="0" fillId="0" borderId="30" xfId="0" applyFill="1" applyBorder="1"/>
    <xf numFmtId="0" fontId="52" fillId="0" borderId="0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>
      <alignment horizontal="center" vertical="center" wrapText="1"/>
    </xf>
    <xf numFmtId="0" fontId="57" fillId="0" borderId="0" xfId="0" applyFont="1" applyFill="1" applyBorder="1" applyAlignment="1" applyProtection="1">
      <alignment horizontal="center" vertical="center" wrapText="1"/>
    </xf>
    <xf numFmtId="0" fontId="57" fillId="0" borderId="0" xfId="0" applyFont="1" applyFill="1" applyBorder="1" applyAlignment="1" applyProtection="1">
      <alignment horizontal="left" vertical="center" wrapText="1"/>
    </xf>
    <xf numFmtId="2" fontId="0" fillId="0" borderId="0" xfId="0" applyNumberFormat="1"/>
    <xf numFmtId="43" fontId="52" fillId="0" borderId="0" xfId="37" applyFont="1" applyFill="1" applyBorder="1" applyAlignment="1">
      <alignment vertical="top" wrapText="1"/>
    </xf>
    <xf numFmtId="43" fontId="18" fillId="0" borderId="0" xfId="37" applyFont="1" applyFill="1" applyBorder="1" applyAlignment="1">
      <alignment vertical="top" wrapText="1"/>
    </xf>
    <xf numFmtId="0" fontId="42" fillId="0" borderId="0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justify"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 applyProtection="1">
      <alignment horizontal="justify" vertical="center" wrapText="1"/>
    </xf>
    <xf numFmtId="0" fontId="42" fillId="0" borderId="0" xfId="0" applyFont="1" applyFill="1" applyBorder="1" applyAlignment="1">
      <alignment horizontal="justify" vertical="center" wrapText="1"/>
    </xf>
    <xf numFmtId="0" fontId="55" fillId="26" borderId="51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63" fillId="0" borderId="0" xfId="0" applyFont="1"/>
    <xf numFmtId="0" fontId="64" fillId="0" borderId="0" xfId="0" applyFont="1"/>
    <xf numFmtId="0" fontId="55" fillId="26" borderId="51" xfId="0" applyFont="1" applyFill="1" applyBorder="1" applyAlignment="1">
      <alignment vertical="center" wrapText="1"/>
    </xf>
    <xf numFmtId="0" fontId="55" fillId="0" borderId="0" xfId="0" applyFont="1" applyFill="1" applyBorder="1" applyAlignment="1">
      <alignment vertical="center" wrapText="1"/>
    </xf>
    <xf numFmtId="43" fontId="21" fillId="0" borderId="0" xfId="0" applyNumberFormat="1" applyFont="1" applyAlignment="1">
      <alignment vertical="center" wrapText="1"/>
    </xf>
    <xf numFmtId="43" fontId="21" fillId="0" borderId="0" xfId="0" applyNumberFormat="1" applyFont="1" applyAlignment="1">
      <alignment vertical="center"/>
    </xf>
    <xf numFmtId="0" fontId="65" fillId="0" borderId="0" xfId="0" applyFont="1"/>
    <xf numFmtId="0" fontId="21" fillId="0" borderId="0" xfId="0" applyFont="1" applyAlignment="1">
      <alignment vertical="center"/>
    </xf>
    <xf numFmtId="0" fontId="21" fillId="26" borderId="51" xfId="0" applyNumberFormat="1" applyFont="1" applyFill="1" applyBorder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43" fontId="21" fillId="0" borderId="0" xfId="0" applyNumberFormat="1" applyFont="1" applyAlignment="1">
      <alignment horizontal="center" vertical="center"/>
    </xf>
    <xf numFmtId="0" fontId="55" fillId="0" borderId="0" xfId="0" applyFont="1" applyFill="1" applyBorder="1" applyAlignment="1">
      <alignment horizontal="center" vertical="center" wrapText="1"/>
    </xf>
    <xf numFmtId="43" fontId="55" fillId="0" borderId="0" xfId="37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26" borderId="35" xfId="0" applyFont="1" applyFill="1" applyBorder="1" applyAlignment="1">
      <alignment horizontal="center" vertical="center"/>
    </xf>
    <xf numFmtId="43" fontId="21" fillId="25" borderId="0" xfId="0" applyNumberFormat="1" applyFont="1" applyFill="1" applyAlignment="1">
      <alignment vertical="center"/>
    </xf>
    <xf numFmtId="0" fontId="66" fillId="0" borderId="0" xfId="0" applyFont="1" applyFill="1" applyBorder="1" applyAlignment="1">
      <alignment horizontal="left" vertical="center"/>
    </xf>
    <xf numFmtId="0" fontId="42" fillId="0" borderId="0" xfId="47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43" fontId="67" fillId="0" borderId="0" xfId="0" applyNumberFormat="1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left" vertical="center" wrapText="1"/>
    </xf>
    <xf numFmtId="43" fontId="0" fillId="0" borderId="0" xfId="0" applyNumberFormat="1"/>
    <xf numFmtId="43" fontId="21" fillId="0" borderId="0" xfId="0" applyNumberFormat="1" applyFont="1" applyAlignment="1">
      <alignment wrapText="1"/>
    </xf>
    <xf numFmtId="0" fontId="21" fillId="0" borderId="0" xfId="0" applyFont="1"/>
    <xf numFmtId="43" fontId="21" fillId="0" borderId="0" xfId="0" applyNumberFormat="1" applyFont="1" applyAlignment="1">
      <alignment horizontal="center" vertical="center" wrapText="1"/>
    </xf>
    <xf numFmtId="0" fontId="65" fillId="0" borderId="0" xfId="0" applyFont="1" applyFill="1"/>
    <xf numFmtId="0" fontId="67" fillId="0" borderId="0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left" vertical="center" wrapText="1"/>
    </xf>
    <xf numFmtId="171" fontId="21" fillId="0" borderId="0" xfId="0" applyNumberFormat="1" applyFont="1" applyAlignment="1">
      <alignment vertical="center"/>
    </xf>
    <xf numFmtId="0" fontId="52" fillId="0" borderId="0" xfId="0" applyFont="1" applyFill="1" applyBorder="1" applyAlignment="1">
      <alignment horizontal="left" vertical="center" wrapText="1"/>
    </xf>
    <xf numFmtId="0" fontId="55" fillId="26" borderId="51" xfId="0" applyFont="1" applyFill="1" applyBorder="1" applyAlignment="1">
      <alignment horizontal="center" vertical="center" wrapText="1"/>
    </xf>
    <xf numFmtId="0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43" fontId="21" fillId="0" borderId="0" xfId="37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26" borderId="35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Alignment="1">
      <alignment vertical="center"/>
    </xf>
    <xf numFmtId="171" fontId="16" fillId="0" borderId="0" xfId="0" applyNumberFormat="1" applyFont="1" applyFill="1" applyAlignment="1">
      <alignment vertical="center"/>
    </xf>
    <xf numFmtId="0" fontId="16" fillId="0" borderId="0" xfId="0" applyNumberFormat="1" applyFont="1" applyFill="1" applyAlignment="1">
      <alignment horizontal="left" vertical="center"/>
    </xf>
    <xf numFmtId="2" fontId="21" fillId="25" borderId="0" xfId="0" applyNumberFormat="1" applyFont="1" applyFill="1" applyAlignment="1">
      <alignment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left" vertical="center"/>
    </xf>
    <xf numFmtId="0" fontId="55" fillId="26" borderId="35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horizontal="right" vertical="center" wrapText="1"/>
    </xf>
    <xf numFmtId="0" fontId="52" fillId="0" borderId="0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ill="1"/>
    <xf numFmtId="4" fontId="52" fillId="0" borderId="0" xfId="0" applyNumberFormat="1" applyFont="1" applyFill="1" applyBorder="1" applyAlignment="1">
      <alignment vertical="top" wrapText="1"/>
    </xf>
    <xf numFmtId="0" fontId="52" fillId="25" borderId="0" xfId="0" applyFont="1" applyFill="1" applyBorder="1" applyAlignment="1">
      <alignment horizontal="center" vertical="center" wrapText="1"/>
    </xf>
    <xf numFmtId="2" fontId="0" fillId="25" borderId="0" xfId="0" applyNumberFormat="1" applyFill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52" fillId="25" borderId="0" xfId="0" applyFont="1" applyFill="1" applyBorder="1" applyAlignment="1" applyProtection="1">
      <alignment horizontal="center" vertical="center" wrapText="1"/>
    </xf>
    <xf numFmtId="0" fontId="52" fillId="25" borderId="0" xfId="0" applyFont="1" applyFill="1" applyBorder="1" applyAlignment="1">
      <alignment horizontal="left" vertical="center" wrapText="1"/>
    </xf>
    <xf numFmtId="0" fontId="52" fillId="25" borderId="0" xfId="0" applyFont="1" applyFill="1" applyBorder="1" applyAlignment="1" applyProtection="1">
      <alignment horizontal="left" vertical="center" wrapText="1"/>
    </xf>
    <xf numFmtId="0" fontId="62" fillId="25" borderId="0" xfId="0" applyFont="1" applyFill="1" applyBorder="1" applyAlignment="1">
      <alignment horizontal="center" vertical="center" wrapText="1"/>
    </xf>
    <xf numFmtId="0" fontId="62" fillId="25" borderId="0" xfId="37" applyNumberFormat="1" applyFont="1" applyFill="1" applyBorder="1" applyAlignment="1">
      <alignment horizontal="right" vertical="center" wrapText="1"/>
    </xf>
    <xf numFmtId="0" fontId="20" fillId="25" borderId="0" xfId="0" applyFont="1" applyFill="1" applyBorder="1" applyAlignment="1">
      <alignment horizontal="left" vertical="center" wrapText="1"/>
    </xf>
    <xf numFmtId="2" fontId="52" fillId="0" borderId="0" xfId="0" applyNumberFormat="1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52" fillId="0" borderId="0" xfId="59" applyFont="1" applyBorder="1" applyAlignment="1">
      <alignment horizontal="left" vertical="top" wrapText="1"/>
    </xf>
    <xf numFmtId="4" fontId="52" fillId="0" borderId="0" xfId="59" applyNumberFormat="1" applyFont="1" applyBorder="1" applyAlignment="1">
      <alignment horizontal="right" vertical="top" wrapText="1"/>
    </xf>
    <xf numFmtId="2" fontId="62" fillId="25" borderId="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Alignment="1">
      <alignment horizontal="center" vertical="center"/>
    </xf>
    <xf numFmtId="2" fontId="52" fillId="0" borderId="0" xfId="0" applyNumberFormat="1" applyFont="1" applyFill="1" applyBorder="1" applyAlignment="1">
      <alignment horizontal="right" vertical="top" wrapText="1"/>
    </xf>
    <xf numFmtId="4" fontId="16" fillId="0" borderId="0" xfId="0" applyNumberFormat="1" applyFont="1" applyFill="1" applyBorder="1" applyAlignment="1">
      <alignment horizontal="left" vertical="center"/>
    </xf>
    <xf numFmtId="4" fontId="68" fillId="0" borderId="0" xfId="0" applyNumberFormat="1" applyFont="1" applyFill="1" applyBorder="1" applyAlignment="1">
      <alignment horizontal="left" vertical="center"/>
    </xf>
    <xf numFmtId="43" fontId="52" fillId="27" borderId="0" xfId="37" applyFont="1" applyFill="1" applyBorder="1" applyAlignment="1">
      <alignment vertical="top" wrapText="1"/>
    </xf>
    <xf numFmtId="43" fontId="18" fillId="27" borderId="0" xfId="37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74" fillId="0" borderId="0" xfId="69" applyFont="1" applyFill="1" applyAlignment="1">
      <alignment horizontal="center" vertical="center"/>
    </xf>
    <xf numFmtId="0" fontId="73" fillId="0" borderId="0" xfId="69" applyFont="1" applyFill="1" applyAlignment="1">
      <alignment horizontal="center" vertical="center"/>
    </xf>
    <xf numFmtId="4" fontId="18" fillId="0" borderId="0" xfId="71" applyNumberFormat="1" applyFont="1" applyFill="1" applyAlignment="1">
      <alignment horizontal="right" vertical="center" indent="1"/>
    </xf>
    <xf numFmtId="0" fontId="18" fillId="0" borderId="0" xfId="69" applyFont="1" applyFill="1" applyBorder="1" applyAlignment="1">
      <alignment horizontal="center" vertical="center"/>
    </xf>
    <xf numFmtId="0" fontId="18" fillId="0" borderId="0" xfId="69" applyFont="1" applyFill="1" applyBorder="1" applyAlignment="1">
      <alignment horizontal="left" vertical="center" wrapText="1" indent="1"/>
    </xf>
    <xf numFmtId="0" fontId="49" fillId="0" borderId="0" xfId="69" applyFont="1" applyFill="1" applyAlignment="1">
      <alignment vertical="center"/>
    </xf>
    <xf numFmtId="0" fontId="19" fillId="0" borderId="0" xfId="69" applyFont="1" applyFill="1" applyAlignment="1">
      <alignment vertical="center"/>
    </xf>
    <xf numFmtId="0" fontId="73" fillId="0" borderId="0" xfId="69" applyFont="1" applyFill="1" applyAlignment="1">
      <alignment vertical="center"/>
    </xf>
    <xf numFmtId="174" fontId="58" fillId="0" borderId="0" xfId="0" applyNumberFormat="1" applyFont="1" applyFill="1" applyBorder="1" applyAlignment="1">
      <alignment horizontal="left" vertical="center" wrapText="1"/>
    </xf>
    <xf numFmtId="0" fontId="18" fillId="0" borderId="0" xfId="69" applyFont="1" applyFill="1" applyAlignment="1">
      <alignment vertical="center"/>
    </xf>
    <xf numFmtId="4" fontId="73" fillId="0" borderId="0" xfId="71" applyNumberFormat="1" applyFont="1" applyFill="1" applyAlignment="1">
      <alignment horizontal="center" vertical="center"/>
    </xf>
    <xf numFmtId="0" fontId="21" fillId="0" borderId="0" xfId="69" applyFont="1" applyFill="1" applyAlignment="1">
      <alignment vertical="center"/>
    </xf>
    <xf numFmtId="174" fontId="0" fillId="0" borderId="0" xfId="0" applyNumberFormat="1" applyFont="1" applyFill="1" applyBorder="1" applyAlignment="1">
      <alignment horizontal="left" vertical="center" wrapText="1"/>
    </xf>
    <xf numFmtId="174" fontId="43" fillId="0" borderId="0" xfId="0" applyNumberFormat="1" applyFont="1" applyFill="1" applyBorder="1" applyAlignment="1">
      <alignment horizontal="left" vertical="center" wrapText="1"/>
    </xf>
    <xf numFmtId="0" fontId="74" fillId="0" borderId="0" xfId="69" applyFont="1" applyFill="1" applyAlignment="1">
      <alignment vertical="center"/>
    </xf>
    <xf numFmtId="0" fontId="21" fillId="0" borderId="0" xfId="69" applyFont="1" applyFill="1" applyAlignment="1">
      <alignment horizontal="center" vertical="center"/>
    </xf>
    <xf numFmtId="0" fontId="21" fillId="0" borderId="0" xfId="69" applyFont="1" applyFill="1" applyAlignment="1">
      <alignment horizontal="left" vertical="center"/>
    </xf>
    <xf numFmtId="0" fontId="42" fillId="0" borderId="0" xfId="69" applyFont="1" applyFill="1" applyAlignment="1">
      <alignment vertical="center"/>
    </xf>
    <xf numFmtId="0" fontId="18" fillId="0" borderId="0" xfId="69" applyFont="1" applyFill="1" applyAlignment="1">
      <alignment horizontal="center" vertical="center"/>
    </xf>
    <xf numFmtId="0" fontId="77" fillId="0" borderId="0" xfId="69" applyFont="1" applyFill="1" applyAlignment="1">
      <alignment vertical="center"/>
    </xf>
    <xf numFmtId="0" fontId="78" fillId="0" borderId="0" xfId="69" applyFont="1" applyFill="1" applyAlignment="1">
      <alignment horizontal="center" vertical="center"/>
    </xf>
    <xf numFmtId="174" fontId="46" fillId="0" borderId="0" xfId="0" applyNumberFormat="1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horizontal="left" vertical="center"/>
    </xf>
    <xf numFmtId="170" fontId="52" fillId="0" borderId="0" xfId="59" applyNumberFormat="1" applyFont="1" applyBorder="1" applyAlignment="1">
      <alignment horizontal="right" vertical="top"/>
    </xf>
    <xf numFmtId="170" fontId="52" fillId="0" borderId="0" xfId="0" applyNumberFormat="1" applyFont="1" applyFill="1" applyBorder="1" applyAlignment="1">
      <alignment horizontal="right" vertical="top"/>
    </xf>
    <xf numFmtId="170" fontId="52" fillId="0" borderId="0" xfId="48" applyNumberFormat="1" applyFont="1" applyFill="1" applyBorder="1" applyAlignment="1">
      <alignment horizontal="right" vertical="top" wrapText="1"/>
    </xf>
    <xf numFmtId="0" fontId="18" fillId="0" borderId="0" xfId="63" applyFont="1" applyFill="1" applyBorder="1" applyAlignment="1">
      <alignment horizontal="left" vertical="center" wrapText="1" indent="1"/>
    </xf>
    <xf numFmtId="0" fontId="18" fillId="0" borderId="0" xfId="63" applyFont="1" applyFill="1" applyBorder="1" applyAlignment="1">
      <alignment horizontal="center" vertical="center"/>
    </xf>
    <xf numFmtId="4" fontId="73" fillId="0" borderId="0" xfId="64" applyNumberFormat="1" applyFont="1" applyFill="1" applyAlignment="1">
      <alignment horizontal="center" vertical="center"/>
    </xf>
    <xf numFmtId="4" fontId="18" fillId="0" borderId="0" xfId="64" applyNumberFormat="1" applyFont="1" applyFill="1" applyAlignment="1">
      <alignment horizontal="right" vertical="center" indent="1"/>
    </xf>
    <xf numFmtId="0" fontId="18" fillId="0" borderId="0" xfId="63" applyFont="1" applyFill="1" applyAlignment="1">
      <alignment vertical="center"/>
    </xf>
    <xf numFmtId="0" fontId="21" fillId="0" borderId="0" xfId="63" applyFont="1" applyFill="1" applyAlignment="1">
      <alignment vertical="center"/>
    </xf>
    <xf numFmtId="4" fontId="16" fillId="0" borderId="0" xfId="141" applyFont="1" applyBorder="1"/>
    <xf numFmtId="4" fontId="16" fillId="0" borderId="0" xfId="141" applyFont="1"/>
    <xf numFmtId="4" fontId="21" fillId="0" borderId="0" xfId="141" quotePrefix="1" applyNumberFormat="1" applyFont="1" applyBorder="1" applyAlignment="1"/>
    <xf numFmtId="4" fontId="21" fillId="0" borderId="0" xfId="141" quotePrefix="1" applyNumberFormat="1" applyFont="1" applyBorder="1" applyAlignment="1">
      <alignment horizontal="left" vertical="center" wrapText="1" indent="1"/>
    </xf>
    <xf numFmtId="49" fontId="21" fillId="0" borderId="0" xfId="141" quotePrefix="1" applyNumberFormat="1" applyFont="1" applyBorder="1" applyAlignment="1"/>
    <xf numFmtId="4" fontId="16" fillId="0" borderId="0" xfId="141" applyNumberFormat="1" applyFont="1" applyBorder="1" applyAlignment="1">
      <alignment horizontal="center"/>
    </xf>
    <xf numFmtId="4" fontId="16" fillId="0" borderId="0" xfId="141" applyNumberFormat="1" applyFont="1" applyBorder="1"/>
    <xf numFmtId="0" fontId="11" fillId="0" borderId="0" xfId="142" applyAlignment="1">
      <alignment vertical="center"/>
    </xf>
    <xf numFmtId="0" fontId="73" fillId="0" borderId="0" xfId="142" applyFont="1" applyFill="1" applyAlignment="1">
      <alignment vertical="center"/>
    </xf>
    <xf numFmtId="4" fontId="16" fillId="0" borderId="0" xfId="141" applyFont="1" applyBorder="1" applyAlignment="1">
      <alignment horizontal="left" vertical="center" wrapText="1" indent="1"/>
    </xf>
    <xf numFmtId="49" fontId="16" fillId="0" borderId="0" xfId="141" applyNumberFormat="1" applyFont="1" applyBorder="1"/>
    <xf numFmtId="4" fontId="18" fillId="0" borderId="0" xfId="141" applyFont="1" applyAlignment="1">
      <alignment vertical="center"/>
    </xf>
    <xf numFmtId="4" fontId="21" fillId="0" borderId="0" xfId="141" applyFont="1" applyAlignment="1">
      <alignment vertical="center"/>
    </xf>
    <xf numFmtId="4" fontId="16" fillId="0" borderId="0" xfId="141" applyFont="1" applyAlignment="1">
      <alignment vertical="center"/>
    </xf>
    <xf numFmtId="4" fontId="16" fillId="0" borderId="0" xfId="141" applyFont="1" applyBorder="1" applyAlignment="1">
      <alignment vertical="center"/>
    </xf>
    <xf numFmtId="4" fontId="16" fillId="0" borderId="0" xfId="141" applyFont="1" applyAlignment="1">
      <alignment horizontal="left"/>
    </xf>
    <xf numFmtId="4" fontId="16" fillId="0" borderId="0" xfId="141" applyFont="1" applyAlignment="1">
      <alignment horizontal="left" vertical="center" wrapText="1" indent="1"/>
    </xf>
    <xf numFmtId="49" fontId="16" fillId="0" borderId="0" xfId="141" applyNumberFormat="1" applyFont="1"/>
    <xf numFmtId="4" fontId="16" fillId="0" borderId="0" xfId="141" applyNumberFormat="1" applyFont="1" applyAlignment="1">
      <alignment horizontal="center"/>
    </xf>
    <xf numFmtId="4" fontId="16" fillId="0" borderId="0" xfId="141" applyNumberFormat="1" applyFont="1"/>
    <xf numFmtId="0" fontId="0" fillId="0" borderId="97" xfId="0" applyBorder="1"/>
    <xf numFmtId="43" fontId="0" fillId="0" borderId="53" xfId="37" applyFont="1" applyBorder="1"/>
    <xf numFmtId="0" fontId="0" fillId="0" borderId="0" xfId="0" applyAlignment="1">
      <alignment horizontal="right"/>
    </xf>
    <xf numFmtId="0" fontId="0" fillId="0" borderId="10" xfId="0" applyBorder="1" applyAlignment="1">
      <alignment wrapText="1"/>
    </xf>
    <xf numFmtId="0" fontId="16" fillId="0" borderId="10" xfId="0" applyFont="1" applyBorder="1" applyAlignment="1">
      <alignment horizontal="center"/>
    </xf>
    <xf numFmtId="4" fontId="52" fillId="0" borderId="0" xfId="0" applyNumberFormat="1" applyFont="1" applyFill="1" applyBorder="1" applyAlignment="1">
      <alignment horizontal="right" vertical="top" wrapText="1"/>
    </xf>
    <xf numFmtId="0" fontId="57" fillId="0" borderId="0" xfId="0" applyFont="1" applyFill="1" applyBorder="1" applyAlignment="1">
      <alignment horizontal="justify" vertical="top" wrapText="1"/>
    </xf>
    <xf numFmtId="2" fontId="16" fillId="0" borderId="10" xfId="0" applyNumberFormat="1" applyFont="1" applyBorder="1" applyAlignment="1">
      <alignment horizontal="center"/>
    </xf>
    <xf numFmtId="2" fontId="0" fillId="0" borderId="10" xfId="0" applyNumberFormat="1" applyBorder="1"/>
    <xf numFmtId="2" fontId="16" fillId="0" borderId="0" xfId="0" applyNumberFormat="1" applyFont="1"/>
    <xf numFmtId="2" fontId="0" fillId="0" borderId="10" xfId="0" applyNumberFormat="1" applyBorder="1" applyAlignment="1">
      <alignment vertical="top"/>
    </xf>
    <xf numFmtId="9" fontId="0" fillId="0" borderId="10" xfId="0" applyNumberFormat="1" applyBorder="1" applyAlignment="1">
      <alignment wrapText="1"/>
    </xf>
    <xf numFmtId="2" fontId="16" fillId="0" borderId="10" xfId="0" applyNumberFormat="1" applyFont="1" applyBorder="1" applyAlignment="1">
      <alignment vertical="top"/>
    </xf>
    <xf numFmtId="4" fontId="52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left" vertical="top"/>
    </xf>
    <xf numFmtId="4" fontId="16" fillId="0" borderId="0" xfId="0" applyNumberFormat="1" applyFont="1" applyFill="1" applyBorder="1" applyAlignment="1">
      <alignment horizontal="left" vertical="top"/>
    </xf>
    <xf numFmtId="170" fontId="52" fillId="0" borderId="0" xfId="0" applyNumberFormat="1" applyFont="1" applyFill="1" applyBorder="1" applyAlignment="1">
      <alignment horizontal="center" vertical="top"/>
    </xf>
    <xf numFmtId="0" fontId="57" fillId="0" borderId="0" xfId="0" applyFont="1" applyFill="1" applyBorder="1" applyAlignment="1">
      <alignment horizontal="left" vertical="top" wrapText="1"/>
    </xf>
    <xf numFmtId="0" fontId="57" fillId="0" borderId="0" xfId="0" applyFont="1" applyFill="1" applyBorder="1" applyAlignment="1">
      <alignment horizontal="center" vertical="top" wrapText="1"/>
    </xf>
    <xf numFmtId="174" fontId="0" fillId="0" borderId="0" xfId="0" applyNumberFormat="1" applyFont="1" applyFill="1" applyBorder="1" applyAlignment="1">
      <alignment horizontal="left" vertical="top" wrapText="1"/>
    </xf>
    <xf numFmtId="0" fontId="52" fillId="27" borderId="0" xfId="59" applyFont="1" applyFill="1" applyBorder="1" applyAlignment="1">
      <alignment horizontal="left" vertical="top" wrapText="1"/>
    </xf>
    <xf numFmtId="0" fontId="58" fillId="0" borderId="0" xfId="0" applyFont="1" applyFill="1" applyBorder="1" applyAlignment="1">
      <alignment horizontal="left" vertical="top"/>
    </xf>
    <xf numFmtId="4" fontId="68" fillId="0" borderId="0" xfId="0" applyNumberFormat="1" applyFont="1" applyFill="1" applyBorder="1" applyAlignment="1">
      <alignment horizontal="left" vertical="top"/>
    </xf>
    <xf numFmtId="174" fontId="58" fillId="0" borderId="0" xfId="0" applyNumberFormat="1" applyFont="1" applyFill="1" applyBorder="1" applyAlignment="1">
      <alignment horizontal="left" vertical="top" wrapText="1"/>
    </xf>
    <xf numFmtId="2" fontId="52" fillId="0" borderId="0" xfId="37" applyNumberFormat="1" applyFont="1" applyFill="1" applyBorder="1" applyAlignment="1">
      <alignment horizontal="right" vertical="top" wrapText="1"/>
    </xf>
    <xf numFmtId="4" fontId="52" fillId="0" borderId="0" xfId="0" applyNumberFormat="1" applyFont="1" applyFill="1" applyBorder="1" applyAlignment="1">
      <alignment horizontal="left" vertical="top" wrapText="1"/>
    </xf>
    <xf numFmtId="2" fontId="52" fillId="0" borderId="0" xfId="37" applyNumberFormat="1" applyFont="1" applyFill="1" applyBorder="1" applyAlignment="1">
      <alignment horizontal="left" vertical="top" wrapText="1"/>
    </xf>
    <xf numFmtId="4" fontId="16" fillId="27" borderId="0" xfId="0" applyNumberFormat="1" applyFont="1" applyFill="1" applyBorder="1" applyAlignment="1">
      <alignment horizontal="left" vertical="top"/>
    </xf>
    <xf numFmtId="0" fontId="21" fillId="0" borderId="0" xfId="69" applyFont="1" applyFill="1" applyAlignment="1">
      <alignment horizontal="center" vertical="top"/>
    </xf>
    <xf numFmtId="0" fontId="21" fillId="0" borderId="0" xfId="69" applyFont="1" applyFill="1" applyAlignment="1">
      <alignment horizontal="left" vertical="top"/>
    </xf>
    <xf numFmtId="0" fontId="21" fillId="0" borderId="0" xfId="69" applyFont="1" applyFill="1" applyAlignment="1">
      <alignment vertical="top"/>
    </xf>
    <xf numFmtId="0" fontId="18" fillId="0" borderId="0" xfId="69" applyFont="1" applyFill="1" applyAlignment="1">
      <alignment vertical="top"/>
    </xf>
    <xf numFmtId="0" fontId="18" fillId="0" borderId="0" xfId="63" applyFont="1" applyFill="1" applyAlignment="1">
      <alignment horizontal="center" vertical="center"/>
    </xf>
    <xf numFmtId="0" fontId="58" fillId="27" borderId="0" xfId="0" applyFont="1" applyFill="1" applyBorder="1" applyAlignment="1">
      <alignment horizontal="left" vertical="top"/>
    </xf>
    <xf numFmtId="0" fontId="57" fillId="27" borderId="0" xfId="0" applyFont="1" applyFill="1" applyBorder="1" applyAlignment="1">
      <alignment horizontal="left" vertical="top" wrapText="1"/>
    </xf>
    <xf numFmtId="170" fontId="52" fillId="0" borderId="0" xfId="48" applyNumberFormat="1" applyFont="1" applyFill="1" applyBorder="1" applyAlignment="1">
      <alignment horizontal="center" vertical="top"/>
    </xf>
    <xf numFmtId="0" fontId="61" fillId="0" borderId="0" xfId="59" applyFont="1" applyFill="1" applyAlignment="1">
      <alignment horizontal="center" vertical="top" wrapText="1"/>
    </xf>
    <xf numFmtId="4" fontId="52" fillId="27" borderId="0" xfId="0" applyNumberFormat="1" applyFont="1" applyFill="1" applyBorder="1" applyAlignment="1">
      <alignment horizontal="left" vertical="top" wrapText="1"/>
    </xf>
    <xf numFmtId="0" fontId="52" fillId="0" borderId="0" xfId="0" applyFont="1" applyFill="1" applyBorder="1" applyAlignment="1">
      <alignment horizontal="right" vertical="top" wrapText="1"/>
    </xf>
    <xf numFmtId="0" fontId="57" fillId="0" borderId="0" xfId="48" applyFont="1" applyFill="1" applyBorder="1" applyAlignment="1">
      <alignment horizontal="center" vertical="top" wrapText="1"/>
    </xf>
    <xf numFmtId="0" fontId="16" fillId="0" borderId="0" xfId="48" applyFont="1" applyFill="1" applyBorder="1" applyAlignment="1">
      <alignment horizontal="center" vertical="top" wrapText="1"/>
    </xf>
    <xf numFmtId="0" fontId="52" fillId="0" borderId="0" xfId="48" applyFont="1" applyFill="1" applyBorder="1" applyAlignment="1">
      <alignment horizontal="left" vertical="top" wrapText="1"/>
    </xf>
    <xf numFmtId="0" fontId="52" fillId="0" borderId="0" xfId="48" applyFont="1" applyFill="1" applyBorder="1" applyAlignment="1">
      <alignment horizontal="center" vertical="top" wrapText="1"/>
    </xf>
    <xf numFmtId="0" fontId="57" fillId="27" borderId="0" xfId="0" applyFont="1" applyFill="1" applyBorder="1" applyAlignment="1">
      <alignment horizontal="center" vertical="top" wrapText="1"/>
    </xf>
    <xf numFmtId="0" fontId="58" fillId="0" borderId="0" xfId="0" applyFont="1" applyFill="1" applyBorder="1" applyAlignment="1">
      <alignment horizontal="left" vertical="top" wrapText="1"/>
    </xf>
    <xf numFmtId="4" fontId="68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169" fontId="52" fillId="0" borderId="0" xfId="0" applyNumberFormat="1" applyFont="1" applyFill="1" applyAlignment="1">
      <alignment horizontal="right" vertical="top" wrapText="1"/>
    </xf>
    <xf numFmtId="174" fontId="16" fillId="0" borderId="0" xfId="0" applyNumberFormat="1" applyFont="1" applyFill="1" applyBorder="1" applyAlignment="1">
      <alignment horizontal="left" vertical="top" wrapText="1"/>
    </xf>
    <xf numFmtId="169" fontId="52" fillId="0" borderId="0" xfId="0" applyNumberFormat="1" applyFont="1" applyFill="1" applyBorder="1" applyAlignment="1">
      <alignment horizontal="left" vertical="top" wrapText="1"/>
    </xf>
    <xf numFmtId="4" fontId="69" fillId="0" borderId="0" xfId="0" applyNumberFormat="1" applyFont="1" applyFill="1" applyBorder="1" applyAlignment="1">
      <alignment vertical="top" wrapText="1"/>
    </xf>
    <xf numFmtId="170" fontId="52" fillId="0" borderId="0" xfId="48" applyNumberFormat="1" applyFont="1" applyFill="1" applyBorder="1" applyAlignment="1">
      <alignment horizontal="center" vertical="top" wrapText="1"/>
    </xf>
    <xf numFmtId="170" fontId="52" fillId="0" borderId="0" xfId="48" applyNumberFormat="1" applyFont="1" applyFill="1" applyBorder="1" applyAlignment="1" applyProtection="1">
      <alignment horizontal="center" vertical="top" wrapText="1"/>
    </xf>
    <xf numFmtId="4" fontId="68" fillId="0" borderId="0" xfId="0" applyNumberFormat="1" applyFont="1" applyFill="1" applyBorder="1" applyAlignment="1">
      <alignment horizontal="center" vertical="top" wrapText="1"/>
    </xf>
    <xf numFmtId="2" fontId="52" fillId="0" borderId="0" xfId="49" applyNumberFormat="1" applyFont="1" applyFill="1" applyBorder="1" applyAlignment="1">
      <alignment horizontal="right" vertical="top" wrapText="1"/>
    </xf>
    <xf numFmtId="170" fontId="0" fillId="0" borderId="0" xfId="0" applyNumberFormat="1" applyFont="1" applyFill="1" applyBorder="1" applyAlignment="1">
      <alignment horizontal="center" vertical="top"/>
    </xf>
    <xf numFmtId="4" fontId="16" fillId="0" borderId="0" xfId="0" applyNumberFormat="1" applyFont="1" applyFill="1" applyBorder="1" applyAlignment="1">
      <alignment horizontal="center" vertical="top"/>
    </xf>
    <xf numFmtId="174" fontId="0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/>
    </xf>
    <xf numFmtId="0" fontId="57" fillId="0" borderId="0" xfId="0" applyFont="1" applyFill="1" applyBorder="1" applyAlignment="1" applyProtection="1">
      <alignment horizontal="center" vertical="top" wrapText="1"/>
    </xf>
    <xf numFmtId="0" fontId="58" fillId="0" borderId="0" xfId="0" applyFont="1" applyFill="1" applyBorder="1" applyAlignment="1" applyProtection="1">
      <alignment horizontal="left" vertical="top"/>
    </xf>
    <xf numFmtId="0" fontId="57" fillId="0" borderId="0" xfId="0" applyFont="1" applyFill="1" applyBorder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horizontal="center" vertical="top" wrapText="1"/>
    </xf>
    <xf numFmtId="0" fontId="52" fillId="0" borderId="0" xfId="0" applyFont="1" applyFill="1" applyBorder="1" applyAlignment="1" applyProtection="1">
      <alignment horizontal="center" vertical="top" wrapText="1"/>
    </xf>
    <xf numFmtId="0" fontId="52" fillId="0" borderId="0" xfId="0" applyFont="1" applyFill="1" applyBorder="1" applyAlignment="1" applyProtection="1">
      <alignment horizontal="left" vertical="top" wrapText="1"/>
    </xf>
    <xf numFmtId="4" fontId="52" fillId="0" borderId="0" xfId="0" applyNumberFormat="1" applyFont="1" applyFill="1" applyBorder="1" applyAlignment="1" applyProtection="1">
      <alignment horizontal="right" vertical="top" wrapText="1"/>
    </xf>
    <xf numFmtId="2" fontId="52" fillId="0" borderId="0" xfId="37" applyNumberFormat="1" applyFont="1" applyFill="1" applyBorder="1" applyAlignment="1" applyProtection="1">
      <alignment horizontal="right" vertical="top" wrapText="1"/>
    </xf>
    <xf numFmtId="4" fontId="52" fillId="0" borderId="0" xfId="0" applyNumberFormat="1" applyFont="1" applyFill="1" applyBorder="1" applyAlignment="1" applyProtection="1">
      <alignment horizontal="left" vertical="top" wrapText="1"/>
    </xf>
    <xf numFmtId="43" fontId="52" fillId="0" borderId="0" xfId="37" applyFont="1" applyFill="1" applyBorder="1" applyAlignment="1" applyProtection="1">
      <alignment vertical="top" wrapText="1"/>
    </xf>
    <xf numFmtId="2" fontId="52" fillId="0" borderId="0" xfId="37" applyNumberFormat="1" applyFont="1" applyFill="1" applyBorder="1" applyAlignment="1" applyProtection="1">
      <alignment horizontal="left" vertical="top" wrapText="1"/>
    </xf>
    <xf numFmtId="4" fontId="68" fillId="0" borderId="0" xfId="0" applyNumberFormat="1" applyFont="1" applyFill="1" applyBorder="1" applyAlignment="1" applyProtection="1">
      <alignment horizontal="left" vertical="top"/>
    </xf>
    <xf numFmtId="174" fontId="58" fillId="0" borderId="0" xfId="0" applyNumberFormat="1" applyFont="1" applyFill="1" applyBorder="1" applyAlignment="1" applyProtection="1">
      <alignment horizontal="left" vertical="top" wrapText="1"/>
    </xf>
    <xf numFmtId="170" fontId="52" fillId="0" borderId="0" xfId="0" applyNumberFormat="1" applyFont="1" applyFill="1" applyBorder="1" applyAlignment="1" applyProtection="1">
      <alignment horizontal="center" vertical="top"/>
    </xf>
    <xf numFmtId="4" fontId="16" fillId="0" borderId="0" xfId="0" applyNumberFormat="1" applyFont="1" applyFill="1" applyBorder="1" applyAlignment="1" applyProtection="1">
      <alignment horizontal="left" vertical="top"/>
    </xf>
    <xf numFmtId="174" fontId="0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horizontal="left" vertical="top"/>
    </xf>
    <xf numFmtId="174" fontId="43" fillId="0" borderId="0" xfId="0" applyNumberFormat="1" applyFont="1" applyFill="1" applyBorder="1" applyAlignment="1">
      <alignment horizontal="left" vertical="top" wrapText="1"/>
    </xf>
    <xf numFmtId="0" fontId="43" fillId="0" borderId="0" xfId="0" applyFont="1" applyFill="1" applyBorder="1" applyAlignment="1">
      <alignment horizontal="left" vertical="top"/>
    </xf>
    <xf numFmtId="0" fontId="57" fillId="0" borderId="0" xfId="0" applyFont="1" applyFill="1" applyBorder="1" applyAlignment="1">
      <alignment horizontal="left" vertical="top" wrapText="1"/>
    </xf>
    <xf numFmtId="2" fontId="52" fillId="0" borderId="0" xfId="0" applyNumberFormat="1" applyFont="1" applyFill="1" applyAlignment="1">
      <alignment horizontal="right" vertical="top" wrapText="1"/>
    </xf>
    <xf numFmtId="0" fontId="52" fillId="0" borderId="0" xfId="0" applyFont="1" applyFill="1" applyAlignment="1">
      <alignment horizontal="left" vertical="top" wrapText="1"/>
    </xf>
    <xf numFmtId="9" fontId="52" fillId="0" borderId="0" xfId="49" applyFont="1" applyFill="1" applyBorder="1" applyAlignment="1">
      <alignment horizontal="left" vertical="top" wrapText="1"/>
    </xf>
    <xf numFmtId="174" fontId="59" fillId="0" borderId="0" xfId="0" applyNumberFormat="1" applyFont="1" applyFill="1" applyBorder="1" applyAlignment="1">
      <alignment horizontal="left" vertical="top" wrapText="1"/>
    </xf>
    <xf numFmtId="0" fontId="59" fillId="0" borderId="0" xfId="0" applyFont="1" applyFill="1" applyBorder="1" applyAlignment="1">
      <alignment horizontal="left" vertical="top"/>
    </xf>
    <xf numFmtId="174" fontId="61" fillId="0" borderId="0" xfId="0" applyNumberFormat="1" applyFont="1" applyFill="1" applyBorder="1" applyAlignment="1">
      <alignment horizontal="left" vertical="top" wrapText="1"/>
    </xf>
    <xf numFmtId="0" fontId="61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 wrapText="1"/>
    </xf>
    <xf numFmtId="2" fontId="0" fillId="0" borderId="0" xfId="37" applyNumberFormat="1" applyFont="1" applyFill="1" applyBorder="1" applyAlignment="1">
      <alignment horizontal="left" vertical="top"/>
    </xf>
    <xf numFmtId="0" fontId="42" fillId="0" borderId="10" xfId="0" applyFont="1" applyFill="1" applyBorder="1" applyAlignment="1">
      <alignment horizontal="left" vertical="center" wrapText="1"/>
    </xf>
    <xf numFmtId="176" fontId="52" fillId="0" borderId="0" xfId="48" applyNumberFormat="1" applyFont="1" applyFill="1" applyBorder="1" applyAlignment="1">
      <alignment horizontal="center" vertical="top" wrapText="1"/>
    </xf>
    <xf numFmtId="10" fontId="52" fillId="0" borderId="0" xfId="49" applyNumberFormat="1" applyFont="1" applyFill="1" applyBorder="1" applyAlignment="1">
      <alignment horizontal="left" vertical="top" wrapText="1"/>
    </xf>
    <xf numFmtId="0" fontId="78" fillId="0" borderId="0" xfId="69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170" fontId="52" fillId="0" borderId="0" xfId="59" applyNumberFormat="1" applyFont="1" applyFill="1" applyBorder="1" applyAlignment="1">
      <alignment horizontal="right" vertical="top"/>
    </xf>
    <xf numFmtId="2" fontId="43" fillId="0" borderId="30" xfId="0" applyNumberFormat="1" applyFont="1" applyFill="1" applyBorder="1" applyAlignment="1">
      <alignment horizontal="center"/>
    </xf>
    <xf numFmtId="2" fontId="16" fillId="0" borderId="10" xfId="0" applyNumberFormat="1" applyFont="1" applyBorder="1"/>
    <xf numFmtId="4" fontId="43" fillId="0" borderId="99" xfId="0" applyNumberFormat="1" applyFont="1" applyFill="1" applyBorder="1" applyAlignment="1">
      <alignment horizontal="center"/>
    </xf>
    <xf numFmtId="2" fontId="16" fillId="0" borderId="22" xfId="0" applyNumberFormat="1" applyFont="1" applyBorder="1"/>
    <xf numFmtId="2" fontId="43" fillId="0" borderId="13" xfId="0" applyNumberFormat="1" applyFont="1" applyFill="1" applyBorder="1" applyAlignment="1">
      <alignment horizontal="center"/>
    </xf>
    <xf numFmtId="2" fontId="43" fillId="0" borderId="29" xfId="0" applyNumberFormat="1" applyFont="1" applyFill="1" applyBorder="1" applyAlignment="1">
      <alignment horizontal="center"/>
    </xf>
    <xf numFmtId="2" fontId="43" fillId="0" borderId="100" xfId="0" applyNumberFormat="1" applyFont="1" applyFill="1" applyBorder="1" applyAlignment="1">
      <alignment horizontal="center"/>
    </xf>
    <xf numFmtId="2" fontId="43" fillId="0" borderId="12" xfId="0" applyNumberFormat="1" applyFont="1" applyFill="1" applyBorder="1" applyAlignment="1">
      <alignment horizontal="center"/>
    </xf>
    <xf numFmtId="2" fontId="43" fillId="0" borderId="22" xfId="0" applyNumberFormat="1" applyFont="1" applyFill="1" applyBorder="1" applyAlignment="1">
      <alignment horizontal="center"/>
    </xf>
    <xf numFmtId="43" fontId="16" fillId="0" borderId="0" xfId="0" applyNumberFormat="1" applyFont="1"/>
    <xf numFmtId="4" fontId="52" fillId="0" borderId="0" xfId="0" applyNumberFormat="1" applyFont="1" applyFill="1" applyBorder="1" applyAlignment="1">
      <alignment vertical="top" wrapText="1"/>
    </xf>
    <xf numFmtId="0" fontId="57" fillId="0" borderId="0" xfId="0" applyFont="1" applyFill="1" applyBorder="1" applyAlignment="1">
      <alignment horizontal="justify" vertical="top" wrapText="1"/>
    </xf>
    <xf numFmtId="4" fontId="52" fillId="0" borderId="0" xfId="0" applyNumberFormat="1" applyFont="1" applyFill="1" applyBorder="1" applyAlignment="1">
      <alignment horizontal="right" vertical="top" wrapText="1"/>
    </xf>
    <xf numFmtId="0" fontId="57" fillId="0" borderId="0" xfId="0" applyFont="1" applyFill="1" applyBorder="1" applyAlignment="1">
      <alignment horizontal="left" vertical="top" wrapText="1"/>
    </xf>
    <xf numFmtId="0" fontId="16" fillId="0" borderId="11" xfId="0" applyFont="1" applyFill="1" applyBorder="1"/>
    <xf numFmtId="2" fontId="0" fillId="0" borderId="0" xfId="0" applyNumberFormat="1" applyFill="1" applyAlignment="1">
      <alignment horizontal="right" vertical="center"/>
    </xf>
    <xf numFmtId="2" fontId="19" fillId="0" borderId="0" xfId="32" applyNumberFormat="1" applyFont="1" applyFill="1" applyBorder="1" applyAlignment="1">
      <alignment horizontal="right" vertical="center" wrapText="1"/>
    </xf>
    <xf numFmtId="2" fontId="18" fillId="0" borderId="10" xfId="37" applyNumberFormat="1" applyFont="1" applyFill="1" applyBorder="1" applyAlignment="1">
      <alignment horizontal="right" vertical="center"/>
    </xf>
    <xf numFmtId="2" fontId="19" fillId="0" borderId="0" xfId="0" applyNumberFormat="1" applyFont="1" applyFill="1" applyBorder="1" applyAlignment="1">
      <alignment horizontal="right" vertical="center"/>
    </xf>
    <xf numFmtId="2" fontId="46" fillId="0" borderId="10" xfId="37" applyNumberFormat="1" applyFont="1" applyFill="1" applyBorder="1" applyAlignment="1">
      <alignment horizontal="right" vertical="center"/>
    </xf>
    <xf numFmtId="2" fontId="42" fillId="0" borderId="10" xfId="37" applyNumberFormat="1" applyFont="1" applyFill="1" applyBorder="1" applyAlignment="1">
      <alignment horizontal="right" vertical="center"/>
    </xf>
    <xf numFmtId="2" fontId="18" fillId="0" borderId="10" xfId="37" applyNumberFormat="1" applyFont="1" applyFill="1" applyBorder="1" applyAlignment="1">
      <alignment horizontal="right" vertical="center" wrapText="1"/>
    </xf>
    <xf numFmtId="2" fontId="18" fillId="0" borderId="10" xfId="0" applyNumberFormat="1" applyFont="1" applyFill="1" applyBorder="1" applyAlignment="1">
      <alignment horizontal="right" vertical="center" wrapText="1"/>
    </xf>
    <xf numFmtId="2" fontId="48" fillId="0" borderId="10" xfId="37" applyNumberFormat="1" applyFont="1" applyFill="1" applyBorder="1" applyAlignment="1">
      <alignment horizontal="right" vertical="center"/>
    </xf>
    <xf numFmtId="2" fontId="18" fillId="0" borderId="0" xfId="37" applyNumberFormat="1" applyFont="1" applyFill="1" applyAlignment="1">
      <alignment horizontal="right" vertical="center"/>
    </xf>
    <xf numFmtId="4" fontId="52" fillId="0" borderId="0" xfId="0" applyNumberFormat="1" applyFont="1" applyFill="1" applyBorder="1" applyAlignment="1">
      <alignment horizontal="right" vertical="top" wrapText="1"/>
    </xf>
    <xf numFmtId="0" fontId="16" fillId="0" borderId="0" xfId="48"/>
    <xf numFmtId="2" fontId="16" fillId="0" borderId="0" xfId="48" applyNumberFormat="1"/>
    <xf numFmtId="177" fontId="52" fillId="0" borderId="0" xfId="0" applyNumberFormat="1" applyFont="1" applyFill="1" applyBorder="1" applyAlignment="1">
      <alignment horizontal="right" vertical="top"/>
    </xf>
    <xf numFmtId="0" fontId="42" fillId="0" borderId="0" xfId="69" applyFont="1" applyFill="1" applyAlignment="1">
      <alignment vertical="top"/>
    </xf>
    <xf numFmtId="0" fontId="18" fillId="0" borderId="0" xfId="69" applyFont="1" applyFill="1" applyAlignment="1">
      <alignment horizontal="center" vertical="top"/>
    </xf>
    <xf numFmtId="0" fontId="18" fillId="27" borderId="0" xfId="69" applyFont="1" applyFill="1" applyAlignment="1">
      <alignment vertical="top"/>
    </xf>
    <xf numFmtId="0" fontId="21" fillId="27" borderId="0" xfId="69" applyFont="1" applyFill="1" applyAlignment="1">
      <alignment vertical="top"/>
    </xf>
    <xf numFmtId="0" fontId="18" fillId="0" borderId="0" xfId="0" applyFont="1" applyFill="1" applyAlignment="1">
      <alignment vertical="top"/>
    </xf>
    <xf numFmtId="0" fontId="42" fillId="0" borderId="0" xfId="0" applyFont="1" applyFill="1" applyAlignment="1">
      <alignment vertical="top"/>
    </xf>
    <xf numFmtId="0" fontId="21" fillId="0" borderId="0" xfId="0" applyFont="1" applyFill="1" applyAlignment="1">
      <alignment vertical="top"/>
    </xf>
    <xf numFmtId="10" fontId="16" fillId="0" borderId="0" xfId="49" applyNumberFormat="1" applyFont="1"/>
    <xf numFmtId="10" fontId="18" fillId="0" borderId="0" xfId="49" applyNumberFormat="1" applyFont="1" applyAlignment="1">
      <alignment vertical="center"/>
    </xf>
    <xf numFmtId="10" fontId="16" fillId="0" borderId="0" xfId="49" applyNumberFormat="1" applyFont="1" applyAlignment="1">
      <alignment vertical="center"/>
    </xf>
    <xf numFmtId="10" fontId="16" fillId="0" borderId="0" xfId="49" applyNumberFormat="1" applyFont="1" applyBorder="1" applyAlignment="1">
      <alignment vertical="center"/>
    </xf>
    <xf numFmtId="10" fontId="7" fillId="0" borderId="0" xfId="49" applyNumberFormat="1" applyFont="1" applyAlignment="1">
      <alignment vertical="center"/>
    </xf>
    <xf numFmtId="4" fontId="16" fillId="0" borderId="0" xfId="49" applyNumberFormat="1" applyFont="1" applyAlignment="1">
      <alignment vertical="center"/>
    </xf>
    <xf numFmtId="43" fontId="16" fillId="24" borderId="10" xfId="37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0" applyNumberFormat="1" applyBorder="1"/>
    <xf numFmtId="164" fontId="16" fillId="0" borderId="10" xfId="0" applyNumberFormat="1" applyFont="1" applyBorder="1"/>
    <xf numFmtId="43" fontId="0" fillId="0" borderId="10" xfId="0" applyNumberFormat="1" applyBorder="1" applyAlignment="1">
      <alignment horizontal="center"/>
    </xf>
    <xf numFmtId="43" fontId="16" fillId="0" borderId="1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left" vertical="top"/>
    </xf>
    <xf numFmtId="0" fontId="58" fillId="0" borderId="0" xfId="0" applyFont="1" applyFill="1" applyBorder="1" applyAlignment="1">
      <alignment horizontal="left" vertical="top"/>
    </xf>
    <xf numFmtId="0" fontId="0" fillId="0" borderId="0" xfId="0"/>
    <xf numFmtId="0" fontId="52" fillId="0" borderId="0" xfId="0" applyFont="1" applyFill="1" applyBorder="1" applyAlignment="1">
      <alignment horizontal="left" vertical="top" wrapText="1"/>
    </xf>
    <xf numFmtId="0" fontId="52" fillId="0" borderId="0" xfId="0" applyFont="1" applyFill="1" applyBorder="1" applyAlignment="1">
      <alignment horizontal="center" vertical="top" wrapText="1"/>
    </xf>
    <xf numFmtId="4" fontId="52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horizontal="center" vertical="top" wrapText="1"/>
    </xf>
    <xf numFmtId="0" fontId="57" fillId="0" borderId="0" xfId="0" applyFont="1" applyFill="1" applyBorder="1" applyAlignment="1">
      <alignment horizontal="center" vertical="top" wrapText="1"/>
    </xf>
    <xf numFmtId="0" fontId="58" fillId="0" borderId="0" xfId="0" applyFont="1" applyFill="1" applyBorder="1" applyAlignment="1">
      <alignment horizontal="left" vertical="top"/>
    </xf>
    <xf numFmtId="4" fontId="68" fillId="0" borderId="0" xfId="0" applyNumberFormat="1" applyFont="1" applyFill="1" applyBorder="1" applyAlignment="1">
      <alignment horizontal="left" vertical="top"/>
    </xf>
    <xf numFmtId="174" fontId="58" fillId="0" borderId="0" xfId="0" applyNumberFormat="1" applyFont="1" applyFill="1" applyBorder="1" applyAlignment="1">
      <alignment horizontal="left" vertical="top" wrapText="1"/>
    </xf>
    <xf numFmtId="2" fontId="52" fillId="0" borderId="0" xfId="37" applyNumberFormat="1" applyFont="1" applyFill="1" applyBorder="1" applyAlignment="1">
      <alignment horizontal="right" vertical="top" wrapText="1"/>
    </xf>
    <xf numFmtId="4" fontId="52" fillId="0" borderId="0" xfId="0" applyNumberFormat="1" applyFont="1" applyFill="1" applyBorder="1" applyAlignment="1">
      <alignment horizontal="left" vertical="top" wrapText="1"/>
    </xf>
    <xf numFmtId="2" fontId="52" fillId="0" borderId="0" xfId="37" applyNumberFormat="1" applyFont="1" applyFill="1" applyBorder="1" applyAlignment="1">
      <alignment horizontal="left" vertical="top" wrapText="1"/>
    </xf>
    <xf numFmtId="170" fontId="52" fillId="0" borderId="0" xfId="48" applyNumberFormat="1" applyFont="1" applyFill="1" applyBorder="1" applyAlignment="1">
      <alignment horizontal="center" vertical="top" wrapText="1"/>
    </xf>
    <xf numFmtId="0" fontId="16" fillId="0" borderId="10" xfId="0" applyFont="1" applyBorder="1" applyAlignment="1">
      <alignment horizontal="center"/>
    </xf>
    <xf numFmtId="0" fontId="83" fillId="0" borderId="99" xfId="0" applyFont="1" applyBorder="1"/>
    <xf numFmtId="0" fontId="89" fillId="0" borderId="14" xfId="0" applyFont="1" applyBorder="1"/>
    <xf numFmtId="0" fontId="51" fillId="0" borderId="14" xfId="0" applyFont="1" applyBorder="1"/>
    <xf numFmtId="0" fontId="89" fillId="0" borderId="13" xfId="0" applyFont="1" applyBorder="1"/>
    <xf numFmtId="0" fontId="84" fillId="0" borderId="43" xfId="0" applyFont="1" applyBorder="1"/>
    <xf numFmtId="0" fontId="89" fillId="0" borderId="0" xfId="0" applyFont="1" applyBorder="1"/>
    <xf numFmtId="0" fontId="42" fillId="0" borderId="0" xfId="0" applyFont="1" applyBorder="1" applyAlignment="1"/>
    <xf numFmtId="0" fontId="21" fillId="0" borderId="0" xfId="0" applyFont="1" applyBorder="1"/>
    <xf numFmtId="0" fontId="51" fillId="0" borderId="0" xfId="0" applyFont="1" applyBorder="1"/>
    <xf numFmtId="0" fontId="81" fillId="0" borderId="43" xfId="0" applyFont="1" applyBorder="1"/>
    <xf numFmtId="0" fontId="91" fillId="0" borderId="10" xfId="0" applyFont="1" applyBorder="1" applyAlignment="1">
      <alignment horizontal="center"/>
    </xf>
    <xf numFmtId="4" fontId="0" fillId="0" borderId="10" xfId="0" applyNumberFormat="1" applyBorder="1" applyAlignment="1">
      <alignment horizontal="left"/>
    </xf>
    <xf numFmtId="4" fontId="89" fillId="0" borderId="10" xfId="203" applyNumberFormat="1" applyFont="1" applyBorder="1"/>
    <xf numFmtId="164" fontId="89" fillId="0" borderId="10" xfId="203" applyFont="1" applyBorder="1"/>
    <xf numFmtId="164" fontId="89" fillId="0" borderId="10" xfId="203" applyFont="1" applyBorder="1" applyAlignment="1">
      <alignment horizontal="center"/>
    </xf>
    <xf numFmtId="4" fontId="89" fillId="0" borderId="10" xfId="0" applyNumberFormat="1" applyFont="1" applyBorder="1"/>
    <xf numFmtId="4" fontId="16" fillId="0" borderId="10" xfId="0" applyNumberFormat="1" applyFont="1" applyBorder="1" applyAlignment="1">
      <alignment horizontal="left"/>
    </xf>
    <xf numFmtId="4" fontId="89" fillId="0" borderId="10" xfId="0" applyNumberFormat="1" applyFont="1" applyBorder="1" applyAlignment="1">
      <alignment horizontal="center"/>
    </xf>
    <xf numFmtId="4" fontId="89" fillId="0" borderId="10" xfId="0" applyNumberFormat="1" applyFont="1" applyBorder="1" applyAlignment="1"/>
    <xf numFmtId="4" fontId="89" fillId="0" borderId="10" xfId="0" quotePrefix="1" applyNumberFormat="1" applyFont="1" applyBorder="1" applyAlignment="1"/>
    <xf numFmtId="164" fontId="86" fillId="29" borderId="10" xfId="203" applyFont="1" applyFill="1" applyBorder="1"/>
    <xf numFmtId="4" fontId="21" fillId="29" borderId="10" xfId="0" applyNumberFormat="1" applyFont="1" applyFill="1" applyBorder="1" applyAlignment="1">
      <alignment horizontal="center"/>
    </xf>
    <xf numFmtId="43" fontId="86" fillId="29" borderId="10" xfId="203" applyNumberFormat="1" applyFont="1" applyFill="1" applyBorder="1"/>
    <xf numFmtId="164" fontId="86" fillId="29" borderId="10" xfId="203" applyFont="1" applyFill="1" applyBorder="1" applyAlignment="1">
      <alignment vertical="center"/>
    </xf>
    <xf numFmtId="4" fontId="91" fillId="0" borderId="10" xfId="0" applyNumberFormat="1" applyFont="1" applyBorder="1" applyAlignment="1">
      <alignment vertical="center"/>
    </xf>
    <xf numFmtId="0" fontId="74" fillId="0" borderId="15" xfId="0" quotePrefix="1" applyFont="1" applyBorder="1" applyAlignment="1">
      <alignment horizontal="left"/>
    </xf>
    <xf numFmtId="0" fontId="87" fillId="0" borderId="15" xfId="0" applyFont="1" applyBorder="1" applyAlignment="1">
      <alignment horizontal="left"/>
    </xf>
    <xf numFmtId="0" fontId="87" fillId="0" borderId="100" xfId="0" applyFont="1" applyBorder="1" applyAlignment="1">
      <alignment horizontal="left"/>
    </xf>
    <xf numFmtId="0" fontId="87" fillId="0" borderId="15" xfId="0" quotePrefix="1" applyFont="1" applyBorder="1" applyAlignment="1">
      <alignment horizontal="left"/>
    </xf>
    <xf numFmtId="0" fontId="0" fillId="0" borderId="0" xfId="0"/>
    <xf numFmtId="0" fontId="52" fillId="0" borderId="0" xfId="0" applyFont="1" applyFill="1" applyBorder="1" applyAlignment="1">
      <alignment horizontal="left" vertical="top" wrapText="1"/>
    </xf>
    <xf numFmtId="0" fontId="52" fillId="0" borderId="0" xfId="0" applyFont="1" applyFill="1" applyBorder="1" applyAlignment="1">
      <alignment horizontal="center" vertical="top" wrapText="1"/>
    </xf>
    <xf numFmtId="43" fontId="52" fillId="27" borderId="0" xfId="37" applyFont="1" applyFill="1" applyBorder="1" applyAlignment="1">
      <alignment vertical="top" wrapText="1"/>
    </xf>
    <xf numFmtId="4" fontId="52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left" vertical="top"/>
    </xf>
    <xf numFmtId="0" fontId="57" fillId="0" borderId="0" xfId="0" applyFont="1" applyFill="1" applyBorder="1" applyAlignment="1">
      <alignment horizontal="center" vertical="top" wrapText="1"/>
    </xf>
    <xf numFmtId="0" fontId="58" fillId="0" borderId="0" xfId="0" applyFont="1" applyFill="1" applyBorder="1" applyAlignment="1">
      <alignment horizontal="left" vertical="top"/>
    </xf>
    <xf numFmtId="4" fontId="68" fillId="0" borderId="0" xfId="0" applyNumberFormat="1" applyFont="1" applyFill="1" applyBorder="1" applyAlignment="1">
      <alignment horizontal="left" vertical="top"/>
    </xf>
    <xf numFmtId="174" fontId="58" fillId="0" borderId="0" xfId="0" applyNumberFormat="1" applyFont="1" applyFill="1" applyBorder="1" applyAlignment="1">
      <alignment horizontal="left" vertical="top" wrapText="1"/>
    </xf>
    <xf numFmtId="2" fontId="52" fillId="0" borderId="0" xfId="37" applyNumberFormat="1" applyFont="1" applyFill="1" applyBorder="1" applyAlignment="1">
      <alignment horizontal="right" vertical="top" wrapText="1"/>
    </xf>
    <xf numFmtId="4" fontId="52" fillId="0" borderId="0" xfId="0" applyNumberFormat="1" applyFont="1" applyFill="1" applyBorder="1" applyAlignment="1">
      <alignment horizontal="left" vertical="top" wrapText="1"/>
    </xf>
    <xf numFmtId="2" fontId="52" fillId="0" borderId="0" xfId="37" applyNumberFormat="1" applyFont="1" applyFill="1" applyBorder="1" applyAlignment="1">
      <alignment horizontal="left" vertical="top" wrapText="1"/>
    </xf>
    <xf numFmtId="0" fontId="52" fillId="0" borderId="0" xfId="0" applyFont="1" applyFill="1" applyBorder="1" applyAlignment="1">
      <alignment horizontal="right" vertical="top" wrapText="1"/>
    </xf>
    <xf numFmtId="176" fontId="52" fillId="0" borderId="0" xfId="0" applyNumberFormat="1" applyFont="1" applyFill="1" applyBorder="1" applyAlignment="1">
      <alignment horizontal="center" vertical="top"/>
    </xf>
    <xf numFmtId="0" fontId="0" fillId="0" borderId="0" xfId="0"/>
    <xf numFmtId="43" fontId="20" fillId="0" borderId="10" xfId="37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 wrapText="1"/>
    </xf>
    <xf numFmtId="166" fontId="18" fillId="0" borderId="1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52" fillId="0" borderId="0" xfId="0" applyFont="1" applyFill="1" applyBorder="1" applyAlignment="1">
      <alignment horizontal="left" vertical="top" wrapText="1"/>
    </xf>
    <xf numFmtId="0" fontId="52" fillId="0" borderId="0" xfId="0" applyFont="1" applyFill="1" applyBorder="1" applyAlignment="1">
      <alignment horizontal="center" vertical="top" wrapText="1"/>
    </xf>
    <xf numFmtId="43" fontId="52" fillId="0" borderId="0" xfId="37" applyFont="1" applyFill="1" applyBorder="1" applyAlignment="1">
      <alignment vertical="top" wrapText="1"/>
    </xf>
    <xf numFmtId="43" fontId="52" fillId="27" borderId="0" xfId="37" applyFont="1" applyFill="1" applyBorder="1" applyAlignment="1">
      <alignment vertical="top" wrapText="1"/>
    </xf>
    <xf numFmtId="43" fontId="18" fillId="27" borderId="0" xfId="37" applyFont="1" applyFill="1" applyBorder="1" applyAlignment="1">
      <alignment vertical="top" wrapText="1"/>
    </xf>
    <xf numFmtId="4" fontId="52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horizontal="center" vertical="top" wrapText="1"/>
    </xf>
    <xf numFmtId="0" fontId="57" fillId="0" borderId="0" xfId="0" applyFont="1" applyFill="1" applyBorder="1" applyAlignment="1">
      <alignment horizontal="center" vertical="top" wrapText="1"/>
    </xf>
    <xf numFmtId="4" fontId="68" fillId="0" borderId="0" xfId="0" applyNumberFormat="1" applyFont="1" applyFill="1" applyBorder="1" applyAlignment="1">
      <alignment horizontal="left" vertical="top"/>
    </xf>
    <xf numFmtId="174" fontId="58" fillId="0" borderId="0" xfId="0" applyNumberFormat="1" applyFont="1" applyFill="1" applyBorder="1" applyAlignment="1">
      <alignment horizontal="left" vertical="top" wrapText="1"/>
    </xf>
    <xf numFmtId="2" fontId="52" fillId="0" borderId="0" xfId="37" applyNumberFormat="1" applyFont="1" applyFill="1" applyBorder="1" applyAlignment="1">
      <alignment horizontal="right" vertical="top" wrapText="1"/>
    </xf>
    <xf numFmtId="4" fontId="52" fillId="0" borderId="0" xfId="0" applyNumberFormat="1" applyFont="1" applyFill="1" applyBorder="1" applyAlignment="1">
      <alignment horizontal="left" vertical="top" wrapText="1"/>
    </xf>
    <xf numFmtId="2" fontId="52" fillId="0" borderId="0" xfId="37" applyNumberFormat="1" applyFont="1" applyFill="1" applyBorder="1" applyAlignment="1">
      <alignment horizontal="left" vertical="top" wrapText="1"/>
    </xf>
    <xf numFmtId="0" fontId="52" fillId="0" borderId="0" xfId="0" applyFont="1" applyFill="1" applyBorder="1" applyAlignment="1">
      <alignment horizontal="right" vertical="top" wrapText="1"/>
    </xf>
    <xf numFmtId="2" fontId="18" fillId="0" borderId="10" xfId="37" applyNumberFormat="1" applyFont="1" applyFill="1" applyBorder="1" applyAlignment="1">
      <alignment horizontal="right" vertical="center"/>
    </xf>
    <xf numFmtId="176" fontId="52" fillId="0" borderId="0" xfId="0" applyNumberFormat="1" applyFont="1" applyFill="1" applyBorder="1" applyAlignment="1">
      <alignment horizontal="center" vertical="top"/>
    </xf>
    <xf numFmtId="0" fontId="71" fillId="0" borderId="0" xfId="69" applyFont="1" applyFill="1" applyAlignment="1">
      <alignment horizontal="left" vertical="center" indent="1"/>
    </xf>
    <xf numFmtId="0" fontId="72" fillId="0" borderId="0" xfId="69" applyFont="1" applyAlignment="1">
      <alignment horizontal="left" vertical="center" indent="1"/>
    </xf>
    <xf numFmtId="0" fontId="52" fillId="0" borderId="0" xfId="59" applyFont="1" applyAlignment="1">
      <alignment horizontal="left" vertical="top" wrapText="1"/>
    </xf>
    <xf numFmtId="43" fontId="52" fillId="0" borderId="0" xfId="37" applyNumberFormat="1" applyFont="1" applyFill="1" applyBorder="1" applyAlignment="1">
      <alignment vertical="top" wrapText="1"/>
    </xf>
    <xf numFmtId="0" fontId="52" fillId="0" borderId="0" xfId="59" applyFont="1" applyFill="1" applyAlignment="1">
      <alignment horizontal="left" vertical="top" wrapText="1"/>
    </xf>
    <xf numFmtId="2" fontId="0" fillId="30" borderId="0" xfId="0" applyNumberFormat="1" applyFill="1" applyAlignment="1">
      <alignment horizontal="center" vertical="center"/>
    </xf>
    <xf numFmtId="2" fontId="0" fillId="27" borderId="0" xfId="0" applyNumberFormat="1" applyFill="1" applyAlignment="1">
      <alignment horizontal="center" vertical="center"/>
    </xf>
    <xf numFmtId="2" fontId="16" fillId="0" borderId="0" xfId="0" applyNumberFormat="1" applyFont="1" applyFill="1" applyAlignment="1">
      <alignment horizontal="center" vertical="center"/>
    </xf>
    <xf numFmtId="0" fontId="0" fillId="30" borderId="0" xfId="0" applyFill="1" applyAlignment="1">
      <alignment horizontal="center" vertical="center"/>
    </xf>
    <xf numFmtId="0" fontId="18" fillId="0" borderId="57" xfId="69" applyFont="1" applyFill="1" applyBorder="1" applyAlignment="1">
      <alignment horizontal="left" vertical="center" wrapText="1"/>
    </xf>
    <xf numFmtId="10" fontId="52" fillId="0" borderId="0" xfId="37" applyNumberFormat="1" applyFont="1" applyFill="1" applyBorder="1" applyAlignment="1">
      <alignment horizontal="left" vertical="top" wrapText="1"/>
    </xf>
    <xf numFmtId="4" fontId="18" fillId="0" borderId="0" xfId="71" applyNumberFormat="1" applyFont="1" applyFill="1" applyAlignment="1">
      <alignment horizontal="center" vertical="center"/>
    </xf>
    <xf numFmtId="167" fontId="46" fillId="28" borderId="57" xfId="69" applyNumberFormat="1" applyFont="1" applyFill="1" applyBorder="1" applyAlignment="1">
      <alignment horizontal="center" vertical="center"/>
    </xf>
    <xf numFmtId="0" fontId="46" fillId="28" borderId="57" xfId="69" applyFont="1" applyFill="1" applyBorder="1" applyAlignment="1">
      <alignment horizontal="left" vertical="center" wrapText="1"/>
    </xf>
    <xf numFmtId="0" fontId="46" fillId="28" borderId="57" xfId="69" applyFont="1" applyFill="1" applyBorder="1" applyAlignment="1">
      <alignment horizontal="center" vertical="center"/>
    </xf>
    <xf numFmtId="4" fontId="43" fillId="28" borderId="58" xfId="71" applyNumberFormat="1" applyFont="1" applyFill="1" applyBorder="1" applyAlignment="1">
      <alignment horizontal="right" vertical="center"/>
    </xf>
    <xf numFmtId="4" fontId="46" fillId="28" borderId="57" xfId="71" applyNumberFormat="1" applyFont="1" applyFill="1" applyBorder="1" applyAlignment="1">
      <alignment horizontal="right" vertical="center"/>
    </xf>
    <xf numFmtId="4" fontId="46" fillId="28" borderId="98" xfId="71" applyNumberFormat="1" applyFont="1" applyFill="1" applyBorder="1" applyAlignment="1">
      <alignment horizontal="right" vertical="center"/>
    </xf>
    <xf numFmtId="168" fontId="43" fillId="0" borderId="57" xfId="69" applyNumberFormat="1" applyFont="1" applyFill="1" applyBorder="1" applyAlignment="1">
      <alignment horizontal="center" vertical="center"/>
    </xf>
    <xf numFmtId="0" fontId="43" fillId="0" borderId="57" xfId="69" applyFont="1" applyFill="1" applyBorder="1" applyAlignment="1">
      <alignment horizontal="left" vertical="center" wrapText="1"/>
    </xf>
    <xf numFmtId="0" fontId="43" fillId="0" borderId="57" xfId="69" applyFont="1" applyFill="1" applyBorder="1" applyAlignment="1">
      <alignment horizontal="center" vertical="center"/>
    </xf>
    <xf numFmtId="4" fontId="43" fillId="0" borderId="58" xfId="71" applyNumberFormat="1" applyFont="1" applyFill="1" applyBorder="1" applyAlignment="1">
      <alignment horizontal="right" vertical="center"/>
    </xf>
    <xf numFmtId="4" fontId="43" fillId="0" borderId="57" xfId="37" applyNumberFormat="1" applyFont="1" applyFill="1" applyBorder="1" applyAlignment="1">
      <alignment horizontal="right" vertical="center"/>
    </xf>
    <xf numFmtId="4" fontId="43" fillId="0" borderId="98" xfId="37" applyNumberFormat="1" applyFont="1" applyFill="1" applyBorder="1" applyAlignment="1">
      <alignment horizontal="right" vertical="center"/>
    </xf>
    <xf numFmtId="1" fontId="46" fillId="0" borderId="57" xfId="70" applyNumberFormat="1" applyFont="1" applyFill="1" applyBorder="1" applyAlignment="1">
      <alignment horizontal="center" vertical="center"/>
    </xf>
    <xf numFmtId="1" fontId="46" fillId="0" borderId="57" xfId="70" applyNumberFormat="1" applyFont="1" applyFill="1" applyBorder="1" applyAlignment="1">
      <alignment horizontal="left" vertical="center"/>
    </xf>
    <xf numFmtId="1" fontId="43" fillId="0" borderId="57" xfId="70" applyNumberFormat="1" applyFont="1" applyFill="1" applyBorder="1" applyAlignment="1">
      <alignment horizontal="center" vertical="center"/>
    </xf>
    <xf numFmtId="1" fontId="46" fillId="0" borderId="58" xfId="70" applyNumberFormat="1" applyFont="1" applyFill="1" applyBorder="1" applyAlignment="1">
      <alignment horizontal="right" vertical="center"/>
    </xf>
    <xf numFmtId="1" fontId="46" fillId="0" borderId="57" xfId="70" applyNumberFormat="1" applyFont="1" applyFill="1" applyBorder="1" applyAlignment="1">
      <alignment horizontal="right" vertical="center"/>
    </xf>
    <xf numFmtId="4" fontId="46" fillId="0" borderId="98" xfId="70" applyNumberFormat="1" applyFont="1" applyFill="1" applyBorder="1" applyAlignment="1">
      <alignment horizontal="right" vertical="center"/>
    </xf>
    <xf numFmtId="0" fontId="46" fillId="27" borderId="57" xfId="69" applyFont="1" applyFill="1" applyBorder="1" applyAlignment="1">
      <alignment horizontal="center" vertical="center"/>
    </xf>
    <xf numFmtId="0" fontId="46" fillId="0" borderId="57" xfId="69" applyFont="1" applyFill="1" applyBorder="1" applyAlignment="1">
      <alignment horizontal="center" vertical="center"/>
    </xf>
    <xf numFmtId="0" fontId="46" fillId="0" borderId="57" xfId="69" applyFont="1" applyFill="1" applyBorder="1" applyAlignment="1">
      <alignment horizontal="left" vertical="center" wrapText="1"/>
    </xf>
    <xf numFmtId="4" fontId="46" fillId="0" borderId="58" xfId="71" applyNumberFormat="1" applyFont="1" applyFill="1" applyBorder="1" applyAlignment="1">
      <alignment horizontal="right" vertical="center"/>
    </xf>
    <xf numFmtId="4" fontId="46" fillId="0" borderId="57" xfId="71" applyNumberFormat="1" applyFont="1" applyFill="1" applyBorder="1" applyAlignment="1">
      <alignment horizontal="right" vertical="center"/>
    </xf>
    <xf numFmtId="4" fontId="46" fillId="0" borderId="60" xfId="71" applyNumberFormat="1" applyFont="1" applyFill="1" applyBorder="1" applyAlignment="1">
      <alignment horizontal="right" vertical="center"/>
    </xf>
    <xf numFmtId="167" fontId="46" fillId="0" borderId="57" xfId="69" applyNumberFormat="1" applyFont="1" applyFill="1" applyBorder="1" applyAlignment="1">
      <alignment horizontal="center" vertical="center"/>
    </xf>
    <xf numFmtId="4" fontId="43" fillId="0" borderId="57" xfId="71" applyNumberFormat="1" applyFont="1" applyFill="1" applyBorder="1" applyAlignment="1">
      <alignment horizontal="right" vertical="center"/>
    </xf>
    <xf numFmtId="4" fontId="43" fillId="0" borderId="60" xfId="71" applyNumberFormat="1" applyFont="1" applyFill="1" applyBorder="1" applyAlignment="1">
      <alignment horizontal="right" vertical="center"/>
    </xf>
    <xf numFmtId="168" fontId="46" fillId="0" borderId="57" xfId="69" applyNumberFormat="1" applyFont="1" applyFill="1" applyBorder="1" applyAlignment="1">
      <alignment horizontal="center" vertical="center"/>
    </xf>
    <xf numFmtId="4" fontId="46" fillId="0" borderId="57" xfId="69" applyNumberFormat="1" applyFont="1" applyFill="1" applyBorder="1" applyAlignment="1">
      <alignment horizontal="right" vertical="center"/>
    </xf>
    <xf numFmtId="4" fontId="46" fillId="0" borderId="60" xfId="69" applyNumberFormat="1" applyFont="1" applyFill="1" applyBorder="1" applyAlignment="1">
      <alignment horizontal="right" vertical="center"/>
    </xf>
    <xf numFmtId="0" fontId="43" fillId="0" borderId="57" xfId="69" applyFont="1" applyFill="1" applyBorder="1" applyAlignment="1">
      <alignment horizontal="center" vertical="center" wrapText="1"/>
    </xf>
    <xf numFmtId="165" fontId="46" fillId="0" borderId="57" xfId="69" applyNumberFormat="1" applyFont="1" applyFill="1" applyBorder="1" applyAlignment="1">
      <alignment horizontal="center" vertical="center"/>
    </xf>
    <xf numFmtId="49" fontId="43" fillId="0" borderId="57" xfId="58" applyNumberFormat="1" applyFont="1" applyFill="1" applyBorder="1" applyAlignment="1">
      <alignment horizontal="left" vertical="center" wrapText="1"/>
    </xf>
    <xf numFmtId="49" fontId="43" fillId="0" borderId="57" xfId="58" applyNumberFormat="1" applyFont="1" applyFill="1" applyBorder="1" applyAlignment="1">
      <alignment horizontal="left" vertical="center"/>
    </xf>
    <xf numFmtId="2" fontId="43" fillId="0" borderId="58" xfId="57" applyNumberFormat="1" applyFont="1" applyFill="1" applyBorder="1" applyAlignment="1">
      <alignment horizontal="right" vertical="center"/>
    </xf>
    <xf numFmtId="168" fontId="46" fillId="0" borderId="57" xfId="1" applyNumberFormat="1" applyFont="1" applyFill="1" applyBorder="1" applyAlignment="1">
      <alignment horizontal="center" vertical="center"/>
    </xf>
    <xf numFmtId="2" fontId="43" fillId="0" borderId="58" xfId="57" applyNumberFormat="1" applyFont="1" applyFill="1" applyBorder="1" applyAlignment="1">
      <alignment horizontal="right" vertical="center" wrapText="1"/>
    </xf>
    <xf numFmtId="0" fontId="43" fillId="27" borderId="57" xfId="69" applyFont="1" applyFill="1" applyBorder="1" applyAlignment="1">
      <alignment horizontal="left" vertical="center" wrapText="1"/>
    </xf>
    <xf numFmtId="2" fontId="43" fillId="27" borderId="58" xfId="57" applyNumberFormat="1" applyFont="1" applyFill="1" applyBorder="1" applyAlignment="1">
      <alignment horizontal="right" vertical="center" wrapText="1"/>
    </xf>
    <xf numFmtId="4" fontId="43" fillId="27" borderId="60" xfId="71" applyNumberFormat="1" applyFont="1" applyFill="1" applyBorder="1" applyAlignment="1">
      <alignment horizontal="right" vertical="center"/>
    </xf>
    <xf numFmtId="168" fontId="43" fillId="0" borderId="57" xfId="1" applyNumberFormat="1" applyFont="1" applyFill="1" applyBorder="1" applyAlignment="1">
      <alignment horizontal="center" vertical="center"/>
    </xf>
    <xf numFmtId="4" fontId="43" fillId="0" borderId="58" xfId="71" applyNumberFormat="1" applyFont="1" applyFill="1" applyBorder="1" applyAlignment="1">
      <alignment horizontal="right" vertical="center" wrapText="1"/>
    </xf>
    <xf numFmtId="0" fontId="93" fillId="0" borderId="57" xfId="69" applyFont="1" applyFill="1" applyBorder="1" applyAlignment="1">
      <alignment horizontal="left" vertical="center" wrapText="1"/>
    </xf>
    <xf numFmtId="0" fontId="43" fillId="0" borderId="77" xfId="0" applyFont="1" applyFill="1" applyBorder="1" applyAlignment="1">
      <alignment horizontal="left" vertical="center" wrapText="1"/>
    </xf>
    <xf numFmtId="0" fontId="43" fillId="0" borderId="77" xfId="0" applyFont="1" applyFill="1" applyBorder="1" applyAlignment="1">
      <alignment horizontal="center" vertical="center"/>
    </xf>
    <xf numFmtId="4" fontId="43" fillId="0" borderId="77" xfId="37" applyNumberFormat="1" applyFont="1" applyFill="1" applyBorder="1" applyAlignment="1">
      <alignment horizontal="right" vertical="center"/>
    </xf>
    <xf numFmtId="0" fontId="46" fillId="0" borderId="48" xfId="69" applyFont="1" applyFill="1" applyBorder="1" applyAlignment="1">
      <alignment horizontal="center" vertical="center"/>
    </xf>
    <xf numFmtId="0" fontId="46" fillId="0" borderId="48" xfId="69" applyFont="1" applyFill="1" applyBorder="1" applyAlignment="1">
      <alignment horizontal="left" vertical="center" wrapText="1" indent="1"/>
    </xf>
    <xf numFmtId="4" fontId="46" fillId="0" borderId="61" xfId="71" applyNumberFormat="1" applyFont="1" applyFill="1" applyBorder="1" applyAlignment="1">
      <alignment horizontal="center" vertical="center"/>
    </xf>
    <xf numFmtId="4" fontId="46" fillId="0" borderId="48" xfId="69" applyNumberFormat="1" applyFont="1" applyFill="1" applyBorder="1" applyAlignment="1">
      <alignment horizontal="right" vertical="center" indent="1"/>
    </xf>
    <xf numFmtId="4" fontId="46" fillId="0" borderId="62" xfId="69" applyNumberFormat="1" applyFont="1" applyFill="1" applyBorder="1" applyAlignment="1">
      <alignment horizontal="right" vertical="center" indent="1"/>
    </xf>
    <xf numFmtId="4" fontId="21" fillId="28" borderId="20" xfId="71" applyNumberFormat="1" applyFont="1" applyFill="1" applyBorder="1" applyAlignment="1">
      <alignment horizontal="right" vertical="center" indent="1"/>
    </xf>
    <xf numFmtId="1" fontId="46" fillId="26" borderId="56" xfId="70" applyNumberFormat="1" applyFont="1" applyFill="1" applyBorder="1" applyAlignment="1">
      <alignment horizontal="center" vertical="center"/>
    </xf>
    <xf numFmtId="1" fontId="46" fillId="26" borderId="57" xfId="70" applyNumberFormat="1" applyFont="1" applyFill="1" applyBorder="1" applyAlignment="1">
      <alignment horizontal="left" vertical="center"/>
    </xf>
    <xf numFmtId="1" fontId="46" fillId="26" borderId="57" xfId="70" applyNumberFormat="1" applyFont="1" applyFill="1" applyBorder="1" applyAlignment="1">
      <alignment horizontal="center" vertical="center"/>
    </xf>
    <xf numFmtId="1" fontId="46" fillId="26" borderId="58" xfId="70" applyNumberFormat="1" applyFont="1" applyFill="1" applyBorder="1" applyAlignment="1">
      <alignment horizontal="right" vertical="center"/>
    </xf>
    <xf numFmtId="1" fontId="46" fillId="26" borderId="47" xfId="70" applyNumberFormat="1" applyFont="1" applyFill="1" applyBorder="1" applyAlignment="1">
      <alignment horizontal="right" vertical="center"/>
    </xf>
    <xf numFmtId="4" fontId="46" fillId="26" borderId="84" xfId="70" applyNumberFormat="1" applyFont="1" applyFill="1" applyBorder="1" applyAlignment="1">
      <alignment horizontal="right" vertical="center"/>
    </xf>
    <xf numFmtId="0" fontId="46" fillId="26" borderId="57" xfId="69" applyFont="1" applyFill="1" applyBorder="1" applyAlignment="1">
      <alignment horizontal="center" vertical="center"/>
    </xf>
    <xf numFmtId="0" fontId="46" fillId="26" borderId="57" xfId="69" applyFont="1" applyFill="1" applyBorder="1" applyAlignment="1">
      <alignment horizontal="left" vertical="center" wrapText="1"/>
    </xf>
    <xf numFmtId="4" fontId="46" fillId="26" borderId="58" xfId="71" applyNumberFormat="1" applyFont="1" applyFill="1" applyBorder="1" applyAlignment="1">
      <alignment horizontal="right" vertical="center"/>
    </xf>
    <xf numFmtId="4" fontId="46" fillId="26" borderId="57" xfId="71" applyNumberFormat="1" applyFont="1" applyFill="1" applyBorder="1" applyAlignment="1">
      <alignment horizontal="right" vertical="center"/>
    </xf>
    <xf numFmtId="4" fontId="46" fillId="26" borderId="98" xfId="71" applyNumberFormat="1" applyFont="1" applyFill="1" applyBorder="1" applyAlignment="1">
      <alignment horizontal="right" vertical="center"/>
    </xf>
    <xf numFmtId="167" fontId="46" fillId="26" borderId="57" xfId="69" applyNumberFormat="1" applyFont="1" applyFill="1" applyBorder="1" applyAlignment="1">
      <alignment horizontal="center" vertical="center"/>
    </xf>
    <xf numFmtId="4" fontId="43" fillId="26" borderId="58" xfId="71" applyNumberFormat="1" applyFont="1" applyFill="1" applyBorder="1" applyAlignment="1">
      <alignment horizontal="right" vertical="center"/>
    </xf>
    <xf numFmtId="4" fontId="46" fillId="26" borderId="60" xfId="71" applyNumberFormat="1" applyFont="1" applyFill="1" applyBorder="1" applyAlignment="1">
      <alignment horizontal="right" vertical="center"/>
    </xf>
    <xf numFmtId="4" fontId="43" fillId="26" borderId="58" xfId="71" applyNumberFormat="1" applyFont="1" applyFill="1" applyBorder="1" applyAlignment="1">
      <alignment horizontal="right" vertical="center" wrapText="1"/>
    </xf>
    <xf numFmtId="165" fontId="46" fillId="26" borderId="57" xfId="69" applyNumberFormat="1" applyFont="1" applyFill="1" applyBorder="1" applyAlignment="1">
      <alignment horizontal="center" vertical="center"/>
    </xf>
    <xf numFmtId="4" fontId="46" fillId="26" borderId="57" xfId="69" applyNumberFormat="1" applyFont="1" applyFill="1" applyBorder="1" applyAlignment="1">
      <alignment horizontal="right" vertical="center"/>
    </xf>
    <xf numFmtId="4" fontId="46" fillId="26" borderId="60" xfId="69" applyNumberFormat="1" applyFont="1" applyFill="1" applyBorder="1" applyAlignment="1">
      <alignment horizontal="right" vertical="center"/>
    </xf>
    <xf numFmtId="168" fontId="46" fillId="26" borderId="57" xfId="69" applyNumberFormat="1" applyFont="1" applyFill="1" applyBorder="1" applyAlignment="1">
      <alignment horizontal="center" vertical="center"/>
    </xf>
    <xf numFmtId="0" fontId="43" fillId="26" borderId="57" xfId="69" applyFont="1" applyFill="1" applyBorder="1" applyAlignment="1">
      <alignment horizontal="center" vertical="center"/>
    </xf>
    <xf numFmtId="167" fontId="46" fillId="26" borderId="56" xfId="69" applyNumberFormat="1" applyFont="1" applyFill="1" applyBorder="1" applyAlignment="1">
      <alignment horizontal="center" vertical="center"/>
    </xf>
    <xf numFmtId="4" fontId="43" fillId="26" borderId="57" xfId="71" applyNumberFormat="1" applyFont="1" applyFill="1" applyBorder="1" applyAlignment="1">
      <alignment horizontal="right" vertical="center"/>
    </xf>
    <xf numFmtId="4" fontId="46" fillId="26" borderId="60" xfId="71" applyNumberFormat="1" applyFont="1" applyFill="1" applyBorder="1" applyAlignment="1">
      <alignment horizontal="right" vertical="center" wrapText="1"/>
    </xf>
    <xf numFmtId="168" fontId="46" fillId="31" borderId="57" xfId="69" applyNumberFormat="1" applyFont="1" applyFill="1" applyBorder="1" applyAlignment="1">
      <alignment horizontal="center" vertical="center"/>
    </xf>
    <xf numFmtId="0" fontId="46" fillId="31" borderId="57" xfId="69" applyFont="1" applyFill="1" applyBorder="1" applyAlignment="1">
      <alignment horizontal="left" vertical="center" wrapText="1"/>
    </xf>
    <xf numFmtId="0" fontId="43" fillId="31" borderId="57" xfId="69" applyFont="1" applyFill="1" applyBorder="1" applyAlignment="1">
      <alignment horizontal="center" vertical="center"/>
    </xf>
    <xf numFmtId="4" fontId="43" fillId="31" borderId="58" xfId="71" applyNumberFormat="1" applyFont="1" applyFill="1" applyBorder="1" applyAlignment="1">
      <alignment horizontal="right" vertical="center"/>
    </xf>
    <xf numFmtId="4" fontId="46" fillId="31" borderId="57" xfId="71" applyNumberFormat="1" applyFont="1" applyFill="1" applyBorder="1" applyAlignment="1">
      <alignment horizontal="right" vertical="center"/>
    </xf>
    <xf numFmtId="4" fontId="46" fillId="31" borderId="60" xfId="71" applyNumberFormat="1" applyFont="1" applyFill="1" applyBorder="1" applyAlignment="1">
      <alignment horizontal="right" vertical="center"/>
    </xf>
    <xf numFmtId="4" fontId="43" fillId="31" borderId="57" xfId="71" applyNumberFormat="1" applyFont="1" applyFill="1" applyBorder="1" applyAlignment="1">
      <alignment horizontal="right" vertical="center"/>
    </xf>
    <xf numFmtId="168" fontId="46" fillId="31" borderId="57" xfId="1" applyNumberFormat="1" applyFont="1" applyFill="1" applyBorder="1" applyAlignment="1">
      <alignment horizontal="center" vertical="center"/>
    </xf>
    <xf numFmtId="0" fontId="43" fillId="31" borderId="57" xfId="69" applyFont="1" applyFill="1" applyBorder="1" applyAlignment="1">
      <alignment horizontal="center" vertical="center" wrapText="1"/>
    </xf>
    <xf numFmtId="4" fontId="43" fillId="31" borderId="58" xfId="71" applyNumberFormat="1" applyFont="1" applyFill="1" applyBorder="1" applyAlignment="1">
      <alignment horizontal="right" vertical="center" wrapText="1"/>
    </xf>
    <xf numFmtId="0" fontId="46" fillId="31" borderId="57" xfId="69" applyFont="1" applyFill="1" applyBorder="1" applyAlignment="1">
      <alignment horizontal="left" vertical="center"/>
    </xf>
    <xf numFmtId="0" fontId="46" fillId="31" borderId="57" xfId="1" applyFont="1" applyFill="1" applyBorder="1" applyAlignment="1">
      <alignment horizontal="center" vertical="center"/>
    </xf>
    <xf numFmtId="4" fontId="46" fillId="31" borderId="58" xfId="71" applyNumberFormat="1" applyFont="1" applyFill="1" applyBorder="1" applyAlignment="1">
      <alignment horizontal="right" vertical="center"/>
    </xf>
    <xf numFmtId="0" fontId="46" fillId="31" borderId="57" xfId="1" applyFont="1" applyFill="1" applyBorder="1" applyAlignment="1">
      <alignment horizontal="left" vertical="center" wrapText="1"/>
    </xf>
    <xf numFmtId="0" fontId="43" fillId="31" borderId="57" xfId="1" applyFont="1" applyFill="1" applyBorder="1" applyAlignment="1">
      <alignment horizontal="center" vertical="center"/>
    </xf>
    <xf numFmtId="4" fontId="43" fillId="0" borderId="0" xfId="142" applyNumberFormat="1" applyFont="1" applyFill="1" applyAlignment="1">
      <alignment horizontal="right" vertical="center" indent="1"/>
    </xf>
    <xf numFmtId="4" fontId="18" fillId="0" borderId="0" xfId="143" applyNumberFormat="1" applyFont="1" applyFill="1" applyAlignment="1">
      <alignment horizontal="center" vertical="center"/>
    </xf>
    <xf numFmtId="4" fontId="18" fillId="0" borderId="0" xfId="143" applyNumberFormat="1" applyFont="1" applyFill="1" applyAlignment="1">
      <alignment vertical="center"/>
    </xf>
    <xf numFmtId="49" fontId="42" fillId="0" borderId="66" xfId="141" applyNumberFormat="1" applyFont="1" applyBorder="1" applyAlignment="1">
      <alignment horizontal="center" vertical="center"/>
    </xf>
    <xf numFmtId="49" fontId="42" fillId="0" borderId="45" xfId="141" applyNumberFormat="1" applyFont="1" applyBorder="1" applyAlignment="1">
      <alignment horizontal="center" vertical="center"/>
    </xf>
    <xf numFmtId="4" fontId="18" fillId="31" borderId="0" xfId="141" applyNumberFormat="1" applyFont="1" applyFill="1" applyBorder="1" applyAlignment="1">
      <alignment horizontal="left" vertical="center"/>
    </xf>
    <xf numFmtId="0" fontId="2" fillId="31" borderId="0" xfId="142" applyFont="1" applyFill="1" applyBorder="1" applyAlignment="1">
      <alignment vertical="center"/>
    </xf>
    <xf numFmtId="4" fontId="18" fillId="31" borderId="43" xfId="141" applyNumberFormat="1" applyFont="1" applyFill="1" applyBorder="1" applyAlignment="1">
      <alignment horizontal="left" vertical="center"/>
    </xf>
    <xf numFmtId="0" fontId="2" fillId="31" borderId="29" xfId="142" applyFont="1" applyFill="1" applyBorder="1" applyAlignment="1">
      <alignment vertical="center"/>
    </xf>
    <xf numFmtId="4" fontId="18" fillId="31" borderId="30" xfId="141" applyNumberFormat="1" applyFont="1" applyFill="1" applyBorder="1" applyAlignment="1">
      <alignment horizontal="left" vertical="center"/>
    </xf>
    <xf numFmtId="0" fontId="2" fillId="31" borderId="30" xfId="142" applyFont="1" applyFill="1" applyBorder="1" applyAlignment="1">
      <alignment vertical="center"/>
    </xf>
    <xf numFmtId="0" fontId="2" fillId="31" borderId="105" xfId="142" applyFont="1" applyFill="1" applyBorder="1" applyAlignment="1">
      <alignment vertical="center"/>
    </xf>
    <xf numFmtId="4" fontId="18" fillId="0" borderId="0" xfId="141" applyNumberFormat="1" applyFont="1" applyFill="1" applyBorder="1" applyAlignment="1">
      <alignment horizontal="left" vertical="center"/>
    </xf>
    <xf numFmtId="0" fontId="2" fillId="0" borderId="0" xfId="142" applyFont="1" applyFill="1" applyBorder="1" applyAlignment="1">
      <alignment vertical="center"/>
    </xf>
    <xf numFmtId="4" fontId="18" fillId="0" borderId="43" xfId="141" applyNumberFormat="1" applyFont="1" applyFill="1" applyBorder="1" applyAlignment="1">
      <alignment horizontal="left" vertical="center"/>
    </xf>
    <xf numFmtId="0" fontId="2" fillId="0" borderId="29" xfId="142" applyFont="1" applyFill="1" applyBorder="1" applyAlignment="1">
      <alignment vertical="center"/>
    </xf>
    <xf numFmtId="4" fontId="18" fillId="0" borderId="29" xfId="141" applyNumberFormat="1" applyFont="1" applyFill="1" applyBorder="1" applyAlignment="1">
      <alignment horizontal="left" vertical="center"/>
    </xf>
    <xf numFmtId="0" fontId="2" fillId="0" borderId="30" xfId="142" applyFont="1" applyFill="1" applyBorder="1" applyAlignment="1">
      <alignment vertical="center"/>
    </xf>
    <xf numFmtId="4" fontId="18" fillId="0" borderId="30" xfId="141" applyNumberFormat="1" applyFont="1" applyFill="1" applyBorder="1" applyAlignment="1">
      <alignment horizontal="left" vertical="center"/>
    </xf>
    <xf numFmtId="0" fontId="2" fillId="0" borderId="105" xfId="142" applyFont="1" applyFill="1" applyBorder="1" applyAlignment="1">
      <alignment vertical="center"/>
    </xf>
    <xf numFmtId="4" fontId="18" fillId="31" borderId="29" xfId="141" applyNumberFormat="1" applyFont="1" applyFill="1" applyBorder="1" applyAlignment="1">
      <alignment horizontal="left" vertical="center"/>
    </xf>
    <xf numFmtId="49" fontId="42" fillId="0" borderId="75" xfId="141" applyNumberFormat="1" applyFont="1" applyBorder="1" applyAlignment="1">
      <alignment vertical="center"/>
    </xf>
    <xf numFmtId="4" fontId="42" fillId="0" borderId="75" xfId="141" applyNumberFormat="1" applyFont="1" applyBorder="1" applyAlignment="1">
      <alignment horizontal="center" vertical="center"/>
    </xf>
    <xf numFmtId="175" fontId="42" fillId="0" borderId="90" xfId="141" applyNumberFormat="1" applyFont="1" applyBorder="1" applyAlignment="1">
      <alignment horizontal="center" vertical="center"/>
    </xf>
    <xf numFmtId="4" fontId="52" fillId="0" borderId="0" xfId="0" applyNumberFormat="1" applyFont="1" applyFill="1" applyBorder="1" applyAlignment="1">
      <alignment horizontal="right" vertical="top" wrapText="1"/>
    </xf>
    <xf numFmtId="0" fontId="52" fillId="0" borderId="0" xfId="0" applyFont="1" applyFill="1" applyBorder="1" applyAlignment="1">
      <alignment horizontal="right" vertical="top" wrapText="1"/>
    </xf>
    <xf numFmtId="0" fontId="57" fillId="0" borderId="0" xfId="0" applyFont="1" applyFill="1" applyBorder="1" applyAlignment="1">
      <alignment horizontal="left" vertical="top" wrapText="1"/>
    </xf>
    <xf numFmtId="4" fontId="57" fillId="0" borderId="0" xfId="0" applyNumberFormat="1" applyFont="1" applyFill="1" applyBorder="1" applyAlignment="1">
      <alignment horizontal="right" vertical="top" wrapText="1"/>
    </xf>
    <xf numFmtId="0" fontId="57" fillId="0" borderId="0" xfId="48" applyFont="1" applyFill="1" applyBorder="1" applyAlignment="1">
      <alignment horizontal="left" vertical="top" wrapText="1"/>
    </xf>
    <xf numFmtId="4" fontId="52" fillId="0" borderId="0" xfId="59" applyNumberFormat="1" applyFont="1" applyFill="1" applyBorder="1" applyAlignment="1">
      <alignment horizontal="right" vertical="top" wrapText="1"/>
    </xf>
    <xf numFmtId="4" fontId="52" fillId="0" borderId="0" xfId="48" applyNumberFormat="1" applyFont="1" applyFill="1" applyBorder="1" applyAlignment="1">
      <alignment vertical="top" wrapText="1"/>
    </xf>
    <xf numFmtId="4" fontId="52" fillId="0" borderId="0" xfId="48" applyNumberFormat="1" applyFont="1" applyFill="1" applyBorder="1" applyAlignment="1">
      <alignment horizontal="right" vertical="top" wrapText="1"/>
    </xf>
    <xf numFmtId="43" fontId="52" fillId="0" borderId="0" xfId="37" applyFont="1" applyFill="1" applyBorder="1" applyAlignment="1">
      <alignment horizontal="right" vertical="top" wrapText="1"/>
    </xf>
    <xf numFmtId="4" fontId="52" fillId="0" borderId="0" xfId="48" applyNumberFormat="1" applyFont="1" applyFill="1" applyBorder="1" applyAlignment="1">
      <alignment horizontal="left" vertical="top" wrapText="1"/>
    </xf>
    <xf numFmtId="0" fontId="16" fillId="0" borderId="0" xfId="48" applyFill="1" applyAlignment="1">
      <alignment vertical="top"/>
    </xf>
    <xf numFmtId="0" fontId="55" fillId="26" borderId="51" xfId="0" applyFont="1" applyFill="1" applyBorder="1" applyAlignment="1">
      <alignment horizontal="left" vertical="center" wrapText="1"/>
    </xf>
    <xf numFmtId="170" fontId="55" fillId="26" borderId="51" xfId="0" applyNumberFormat="1" applyFont="1" applyFill="1" applyBorder="1" applyAlignment="1">
      <alignment horizontal="center" vertical="center"/>
    </xf>
    <xf numFmtId="2" fontId="55" fillId="26" borderId="51" xfId="37" applyNumberFormat="1" applyFont="1" applyFill="1" applyBorder="1" applyAlignment="1">
      <alignment horizontal="center" vertical="center" wrapText="1"/>
    </xf>
    <xf numFmtId="0" fontId="43" fillId="0" borderId="0" xfId="69" applyFont="1" applyFill="1" applyAlignment="1">
      <alignment vertical="center"/>
    </xf>
    <xf numFmtId="0" fontId="1" fillId="0" borderId="0" xfId="69" applyFont="1" applyAlignment="1">
      <alignment vertical="center"/>
    </xf>
    <xf numFmtId="0" fontId="55" fillId="26" borderId="0" xfId="0" applyFont="1" applyFill="1" applyBorder="1" applyAlignment="1">
      <alignment horizontal="center" vertical="center" wrapText="1"/>
    </xf>
    <xf numFmtId="0" fontId="0" fillId="26" borderId="0" xfId="0" applyFont="1" applyFill="1" applyBorder="1" applyAlignment="1">
      <alignment horizontal="left" vertical="center" wrapText="1"/>
    </xf>
    <xf numFmtId="0" fontId="0" fillId="26" borderId="0" xfId="0" applyFont="1" applyFill="1" applyBorder="1" applyAlignment="1">
      <alignment horizontal="center" vertical="center" wrapText="1"/>
    </xf>
    <xf numFmtId="0" fontId="55" fillId="24" borderId="0" xfId="0" applyFont="1" applyFill="1" applyBorder="1" applyAlignment="1">
      <alignment horizontal="center" vertical="center" wrapText="1"/>
    </xf>
    <xf numFmtId="0" fontId="55" fillId="24" borderId="0" xfId="0" applyFont="1" applyFill="1" applyBorder="1" applyAlignment="1">
      <alignment horizontal="left" vertical="center"/>
    </xf>
    <xf numFmtId="0" fontId="56" fillId="24" borderId="0" xfId="0" applyFont="1" applyFill="1" applyBorder="1" applyAlignment="1">
      <alignment horizontal="center" vertical="center" wrapText="1"/>
    </xf>
    <xf numFmtId="170" fontId="56" fillId="24" borderId="0" xfId="0" applyNumberFormat="1" applyFont="1" applyFill="1" applyBorder="1" applyAlignment="1">
      <alignment horizontal="center" vertical="center"/>
    </xf>
    <xf numFmtId="0" fontId="56" fillId="24" borderId="0" xfId="0" applyFont="1" applyFill="1" applyBorder="1" applyAlignment="1">
      <alignment horizontal="left" vertical="center" wrapText="1"/>
    </xf>
    <xf numFmtId="2" fontId="56" fillId="24" borderId="0" xfId="37" applyNumberFormat="1" applyFont="1" applyFill="1" applyBorder="1" applyAlignment="1">
      <alignment horizontal="left" vertical="center" wrapText="1"/>
    </xf>
    <xf numFmtId="0" fontId="0" fillId="24" borderId="0" xfId="0" applyFont="1" applyFill="1" applyBorder="1" applyAlignment="1">
      <alignment horizontal="left" vertical="center" wrapText="1"/>
    </xf>
    <xf numFmtId="0" fontId="0" fillId="24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24" borderId="0" xfId="0" applyFont="1" applyFill="1" applyBorder="1" applyAlignment="1">
      <alignment horizontal="left" vertical="center" wrapText="1"/>
    </xf>
    <xf numFmtId="0" fontId="16" fillId="24" borderId="0" xfId="0" applyFont="1" applyFill="1" applyBorder="1" applyAlignment="1">
      <alignment horizontal="center" vertical="center" wrapText="1"/>
    </xf>
    <xf numFmtId="2" fontId="57" fillId="0" borderId="0" xfId="37" applyNumberFormat="1" applyFont="1" applyFill="1" applyBorder="1" applyAlignment="1">
      <alignment horizontal="right" vertical="top" wrapText="1"/>
    </xf>
    <xf numFmtId="4" fontId="57" fillId="0" borderId="0" xfId="0" applyNumberFormat="1" applyFont="1" applyFill="1" applyBorder="1" applyAlignment="1">
      <alignment horizontal="left" vertical="top" wrapText="1"/>
    </xf>
    <xf numFmtId="43" fontId="57" fillId="0" borderId="0" xfId="37" applyFont="1" applyFill="1" applyBorder="1" applyAlignment="1">
      <alignment vertical="top" wrapText="1"/>
    </xf>
    <xf numFmtId="43" fontId="57" fillId="27" borderId="0" xfId="37" applyFont="1" applyFill="1" applyBorder="1" applyAlignment="1">
      <alignment vertical="top" wrapText="1"/>
    </xf>
    <xf numFmtId="4" fontId="57" fillId="27" borderId="0" xfId="0" applyNumberFormat="1" applyFont="1" applyFill="1" applyBorder="1" applyAlignment="1">
      <alignment horizontal="left" vertical="top" wrapText="1"/>
    </xf>
    <xf numFmtId="4" fontId="57" fillId="0" borderId="0" xfId="48" applyNumberFormat="1" applyFont="1" applyFill="1" applyBorder="1" applyAlignment="1">
      <alignment horizontal="right" vertical="top" wrapText="1"/>
    </xf>
    <xf numFmtId="43" fontId="57" fillId="0" borderId="0" xfId="37" applyFont="1" applyFill="1" applyBorder="1" applyAlignment="1">
      <alignment horizontal="right" vertical="top" wrapText="1"/>
    </xf>
    <xf numFmtId="4" fontId="57" fillId="0" borderId="0" xfId="48" applyNumberFormat="1" applyFont="1" applyFill="1" applyBorder="1" applyAlignment="1">
      <alignment horizontal="left" vertical="top" wrapText="1"/>
    </xf>
    <xf numFmtId="169" fontId="57" fillId="0" borderId="0" xfId="0" applyNumberFormat="1" applyFont="1" applyFill="1" applyBorder="1" applyAlignment="1">
      <alignment horizontal="left" vertical="top" wrapText="1"/>
    </xf>
    <xf numFmtId="170" fontId="57" fillId="0" borderId="0" xfId="0" applyNumberFormat="1" applyFont="1" applyFill="1" applyBorder="1" applyAlignment="1">
      <alignment horizontal="right" vertical="top"/>
    </xf>
    <xf numFmtId="2" fontId="57" fillId="0" borderId="0" xfId="0" applyNumberFormat="1" applyFont="1" applyFill="1" applyBorder="1" applyAlignment="1">
      <alignment horizontal="right" vertical="top" wrapText="1"/>
    </xf>
    <xf numFmtId="4" fontId="57" fillId="0" borderId="0" xfId="0" applyNumberFormat="1" applyFont="1" applyFill="1" applyBorder="1" applyAlignment="1">
      <alignment vertical="top" wrapText="1"/>
    </xf>
    <xf numFmtId="0" fontId="57" fillId="0" borderId="0" xfId="0" applyFont="1" applyFill="1" applyBorder="1" applyAlignment="1">
      <alignment horizontal="right" vertical="top" wrapText="1"/>
    </xf>
    <xf numFmtId="4" fontId="57" fillId="0" borderId="0" xfId="0" applyNumberFormat="1" applyFont="1" applyFill="1" applyBorder="1" applyAlignment="1" applyProtection="1">
      <alignment horizontal="right" vertical="top" wrapText="1"/>
    </xf>
    <xf numFmtId="2" fontId="57" fillId="0" borderId="0" xfId="37" applyNumberFormat="1" applyFont="1" applyFill="1" applyBorder="1" applyAlignment="1" applyProtection="1">
      <alignment horizontal="right" vertical="top" wrapText="1"/>
    </xf>
    <xf numFmtId="4" fontId="57" fillId="0" borderId="0" xfId="0" applyNumberFormat="1" applyFont="1" applyFill="1" applyBorder="1" applyAlignment="1" applyProtection="1">
      <alignment horizontal="left" vertical="top" wrapText="1"/>
    </xf>
    <xf numFmtId="43" fontId="57" fillId="0" borderId="0" xfId="37" applyFont="1" applyFill="1" applyBorder="1" applyAlignment="1" applyProtection="1">
      <alignment vertical="top" wrapText="1"/>
    </xf>
    <xf numFmtId="0" fontId="95" fillId="24" borderId="0" xfId="0" applyFont="1" applyFill="1" applyBorder="1" applyAlignment="1">
      <alignment horizontal="center" vertical="center" wrapText="1"/>
    </xf>
    <xf numFmtId="0" fontId="43" fillId="24" borderId="0" xfId="0" applyFont="1" applyFill="1" applyBorder="1" applyAlignment="1">
      <alignment horizontal="left" vertical="center" wrapText="1"/>
    </xf>
    <xf numFmtId="0" fontId="43" fillId="24" borderId="0" xfId="0" applyFont="1" applyFill="1" applyBorder="1" applyAlignment="1">
      <alignment horizontal="center" vertical="center" wrapText="1"/>
    </xf>
    <xf numFmtId="0" fontId="46" fillId="24" borderId="0" xfId="0" applyFont="1" applyFill="1" applyBorder="1" applyAlignment="1">
      <alignment horizontal="left" vertical="center" wrapText="1"/>
    </xf>
    <xf numFmtId="0" fontId="46" fillId="24" borderId="0" xfId="0" applyFont="1" applyFill="1" applyBorder="1" applyAlignment="1">
      <alignment horizontal="center" vertical="center" wrapText="1"/>
    </xf>
    <xf numFmtId="0" fontId="16" fillId="26" borderId="0" xfId="0" applyFont="1" applyFill="1" applyBorder="1" applyAlignment="1">
      <alignment horizontal="left" vertical="center" wrapText="1"/>
    </xf>
    <xf numFmtId="0" fontId="16" fillId="26" borderId="0" xfId="0" applyFont="1" applyFill="1" applyBorder="1" applyAlignment="1">
      <alignment horizontal="center" vertical="center" wrapText="1"/>
    </xf>
    <xf numFmtId="0" fontId="59" fillId="24" borderId="0" xfId="0" applyFont="1" applyFill="1" applyBorder="1" applyAlignment="1">
      <alignment horizontal="left" vertical="center" wrapText="1"/>
    </xf>
    <xf numFmtId="0" fontId="59" fillId="24" borderId="0" xfId="0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left" vertical="top"/>
    </xf>
    <xf numFmtId="0" fontId="57" fillId="0" borderId="0" xfId="48" applyFont="1" applyFill="1" applyBorder="1" applyAlignment="1">
      <alignment horizontal="right" vertical="top" wrapText="1"/>
    </xf>
    <xf numFmtId="0" fontId="88" fillId="0" borderId="0" xfId="48" applyFont="1" applyFill="1" applyBorder="1" applyAlignment="1">
      <alignment horizontal="center" vertical="center"/>
    </xf>
    <xf numFmtId="0" fontId="57" fillId="0" borderId="0" xfId="0" applyFont="1" applyFill="1" applyBorder="1" applyAlignment="1" applyProtection="1">
      <alignment horizontal="right" vertical="top" wrapText="1"/>
    </xf>
    <xf numFmtId="4" fontId="18" fillId="0" borderId="57" xfId="141" applyNumberFormat="1" applyFont="1" applyBorder="1" applyAlignment="1">
      <alignment horizontal="center" vertical="center"/>
    </xf>
    <xf numFmtId="4" fontId="18" fillId="0" borderId="98" xfId="141" applyNumberFormat="1" applyFont="1" applyBorder="1" applyAlignment="1">
      <alignment horizontal="center" vertical="center"/>
    </xf>
    <xf numFmtId="10" fontId="18" fillId="0" borderId="71" xfId="141" applyNumberFormat="1" applyFont="1" applyBorder="1" applyAlignment="1">
      <alignment horizontal="center" vertical="center"/>
    </xf>
    <xf numFmtId="10" fontId="18" fillId="0" borderId="72" xfId="141" applyNumberFormat="1" applyFont="1" applyBorder="1" applyAlignment="1">
      <alignment horizontal="center" vertical="center"/>
    </xf>
    <xf numFmtId="4" fontId="21" fillId="26" borderId="55" xfId="141" applyFont="1" applyFill="1" applyBorder="1" applyAlignment="1">
      <alignment horizontal="center" vertical="center"/>
    </xf>
    <xf numFmtId="4" fontId="21" fillId="26" borderId="101" xfId="141" applyFont="1" applyFill="1" applyBorder="1" applyAlignment="1">
      <alignment horizontal="center" vertical="center"/>
    </xf>
    <xf numFmtId="4" fontId="21" fillId="26" borderId="49" xfId="141" applyFont="1" applyFill="1" applyBorder="1" applyAlignment="1">
      <alignment horizontal="center" vertical="center"/>
    </xf>
    <xf numFmtId="4" fontId="21" fillId="26" borderId="102" xfId="141" applyFont="1" applyFill="1" applyBorder="1" applyAlignment="1">
      <alignment horizontal="center" vertical="center"/>
    </xf>
    <xf numFmtId="4" fontId="42" fillId="0" borderId="73" xfId="141" applyFont="1" applyBorder="1" applyAlignment="1">
      <alignment horizontal="center" vertical="center"/>
    </xf>
    <xf numFmtId="4" fontId="42" fillId="0" borderId="80" xfId="141" applyFont="1" applyBorder="1" applyAlignment="1">
      <alignment horizontal="center" vertical="center"/>
    </xf>
    <xf numFmtId="0" fontId="18" fillId="0" borderId="81" xfId="46" applyFont="1" applyBorder="1" applyAlignment="1">
      <alignment horizontal="center" vertical="center"/>
    </xf>
    <xf numFmtId="4" fontId="42" fillId="0" borderId="73" xfId="141" quotePrefix="1" applyNumberFormat="1" applyFont="1" applyBorder="1" applyAlignment="1">
      <alignment horizontal="left" vertical="center" wrapText="1" indent="1"/>
    </xf>
    <xf numFmtId="4" fontId="42" fillId="0" borderId="80" xfId="141" quotePrefix="1" applyNumberFormat="1" applyFont="1" applyBorder="1" applyAlignment="1">
      <alignment horizontal="left" vertical="center" wrapText="1" indent="1"/>
    </xf>
    <xf numFmtId="4" fontId="18" fillId="0" borderId="81" xfId="141" applyFont="1" applyBorder="1" applyAlignment="1">
      <alignment horizontal="left" vertical="center" wrapText="1" indent="1"/>
    </xf>
    <xf numFmtId="49" fontId="42" fillId="0" borderId="73" xfId="141" quotePrefix="1" applyNumberFormat="1" applyFont="1" applyBorder="1" applyAlignment="1">
      <alignment horizontal="left" vertical="center"/>
    </xf>
    <xf numFmtId="49" fontId="42" fillId="0" borderId="80" xfId="141" quotePrefix="1" applyNumberFormat="1" applyFont="1" applyBorder="1" applyAlignment="1">
      <alignment horizontal="left" vertical="center"/>
    </xf>
    <xf numFmtId="49" fontId="18" fillId="0" borderId="81" xfId="141" applyNumberFormat="1" applyFont="1" applyBorder="1" applyAlignment="1">
      <alignment horizontal="left" vertical="center"/>
    </xf>
    <xf numFmtId="4" fontId="18" fillId="0" borderId="85" xfId="141" quotePrefix="1" applyNumberFormat="1" applyFont="1" applyBorder="1" applyAlignment="1">
      <alignment horizontal="center" vertical="center"/>
    </xf>
    <xf numFmtId="4" fontId="18" fillId="0" borderId="74" xfId="141" quotePrefix="1" applyNumberFormat="1" applyFont="1" applyBorder="1" applyAlignment="1">
      <alignment horizontal="center" vertical="center"/>
    </xf>
    <xf numFmtId="4" fontId="18" fillId="0" borderId="87" xfId="141" applyNumberFormat="1" applyFont="1" applyBorder="1" applyAlignment="1">
      <alignment horizontal="center" vertical="center"/>
    </xf>
    <xf numFmtId="10" fontId="42" fillId="0" borderId="57" xfId="54" applyNumberFormat="1" applyFont="1" applyFill="1" applyBorder="1" applyAlignment="1">
      <alignment horizontal="center" vertical="center"/>
    </xf>
    <xf numFmtId="10" fontId="42" fillId="0" borderId="57" xfId="46" applyNumberFormat="1" applyFont="1" applyFill="1" applyBorder="1" applyAlignment="1">
      <alignment horizontal="center" vertical="center"/>
    </xf>
    <xf numFmtId="4" fontId="18" fillId="0" borderId="76" xfId="141" applyNumberFormat="1" applyFont="1" applyBorder="1" applyAlignment="1">
      <alignment horizontal="center" vertical="center"/>
    </xf>
    <xf numFmtId="4" fontId="18" fillId="0" borderId="77" xfId="141" applyNumberFormat="1" applyFont="1" applyBorder="1" applyAlignment="1">
      <alignment horizontal="center" vertical="center"/>
    </xf>
    <xf numFmtId="4" fontId="18" fillId="0" borderId="78" xfId="141" applyNumberFormat="1" applyFont="1" applyBorder="1" applyAlignment="1">
      <alignment horizontal="center" vertical="center"/>
    </xf>
    <xf numFmtId="4" fontId="18" fillId="0" borderId="86" xfId="141" applyNumberFormat="1" applyFont="1" applyBorder="1" applyAlignment="1">
      <alignment horizontal="center" vertical="center"/>
    </xf>
    <xf numFmtId="175" fontId="18" fillId="0" borderId="82" xfId="141" applyNumberFormat="1" applyFont="1" applyBorder="1" applyAlignment="1">
      <alignment horizontal="center" vertical="center"/>
    </xf>
    <xf numFmtId="175" fontId="18" fillId="0" borderId="46" xfId="141" applyNumberFormat="1" applyFont="1" applyBorder="1" applyAlignment="1">
      <alignment horizontal="center" vertical="center"/>
    </xf>
    <xf numFmtId="175" fontId="18" fillId="0" borderId="83" xfId="141" applyNumberFormat="1" applyFont="1" applyBorder="1" applyAlignment="1">
      <alignment horizontal="center" vertical="center"/>
    </xf>
    <xf numFmtId="175" fontId="18" fillId="0" borderId="84" xfId="141" applyNumberFormat="1" applyFont="1" applyBorder="1" applyAlignment="1">
      <alignment horizontal="center" vertical="center"/>
    </xf>
    <xf numFmtId="175" fontId="18" fillId="31" borderId="46" xfId="141" applyNumberFormat="1" applyFont="1" applyFill="1" applyBorder="1" applyAlignment="1">
      <alignment horizontal="center" vertical="center"/>
    </xf>
    <xf numFmtId="175" fontId="18" fillId="31" borderId="84" xfId="141" applyNumberFormat="1" applyFont="1" applyFill="1" applyBorder="1" applyAlignment="1">
      <alignment horizontal="center" vertical="center"/>
    </xf>
    <xf numFmtId="4" fontId="18" fillId="31" borderId="77" xfId="141" applyNumberFormat="1" applyFont="1" applyFill="1" applyBorder="1" applyAlignment="1">
      <alignment horizontal="center" vertical="center"/>
    </xf>
    <xf numFmtId="4" fontId="18" fillId="31" borderId="86" xfId="141" applyNumberFormat="1" applyFont="1" applyFill="1" applyBorder="1" applyAlignment="1">
      <alignment horizontal="center" vertical="center"/>
    </xf>
    <xf numFmtId="4" fontId="18" fillId="0" borderId="75" xfId="54" applyNumberFormat="1" applyFont="1" applyBorder="1" applyAlignment="1">
      <alignment horizontal="center" vertical="center"/>
    </xf>
    <xf numFmtId="4" fontId="2" fillId="0" borderId="75" xfId="142" applyNumberFormat="1" applyFont="1" applyBorder="1" applyAlignment="1">
      <alignment horizontal="center" vertical="center"/>
    </xf>
    <xf numFmtId="4" fontId="2" fillId="0" borderId="90" xfId="142" applyNumberFormat="1" applyFont="1" applyBorder="1" applyAlignment="1">
      <alignment horizontal="center" vertical="center"/>
    </xf>
    <xf numFmtId="10" fontId="18" fillId="0" borderId="57" xfId="141" applyNumberFormat="1" applyFont="1" applyBorder="1" applyAlignment="1">
      <alignment horizontal="center" vertical="center"/>
    </xf>
    <xf numFmtId="10" fontId="2" fillId="0" borderId="57" xfId="142" applyNumberFormat="1" applyFont="1" applyBorder="1" applyAlignment="1">
      <alignment horizontal="center" vertical="center"/>
    </xf>
    <xf numFmtId="10" fontId="2" fillId="0" borderId="98" xfId="142" applyNumberFormat="1" applyFont="1" applyBorder="1" applyAlignment="1">
      <alignment horizontal="center" vertical="center"/>
    </xf>
    <xf numFmtId="10" fontId="18" fillId="31" borderId="46" xfId="141" applyNumberFormat="1" applyFont="1" applyFill="1" applyBorder="1" applyAlignment="1">
      <alignment horizontal="center" vertical="center"/>
    </xf>
    <xf numFmtId="10" fontId="18" fillId="31" borderId="84" xfId="141" applyNumberFormat="1" applyFont="1" applyFill="1" applyBorder="1" applyAlignment="1">
      <alignment horizontal="center" vertical="center"/>
    </xf>
    <xf numFmtId="10" fontId="18" fillId="0" borderId="46" xfId="141" applyNumberFormat="1" applyFont="1" applyBorder="1" applyAlignment="1">
      <alignment horizontal="center" vertical="center"/>
    </xf>
    <xf numFmtId="10" fontId="18" fillId="0" borderId="84" xfId="141" applyNumberFormat="1" applyFont="1" applyBorder="1" applyAlignment="1">
      <alignment horizontal="center" vertical="center"/>
    </xf>
    <xf numFmtId="0" fontId="43" fillId="0" borderId="0" xfId="142" applyFont="1" applyFill="1" applyAlignment="1">
      <alignment horizontal="left" vertical="center" indent="1"/>
    </xf>
    <xf numFmtId="0" fontId="46" fillId="0" borderId="0" xfId="142" applyFont="1" applyFill="1" applyAlignment="1">
      <alignment horizontal="left" vertical="center" indent="1"/>
    </xf>
    <xf numFmtId="0" fontId="2" fillId="0" borderId="0" xfId="142" applyFont="1" applyAlignment="1">
      <alignment horizontal="left" vertical="center" indent="1"/>
    </xf>
    <xf numFmtId="4" fontId="16" fillId="0" borderId="49" xfId="141" applyFont="1" applyBorder="1" applyAlignment="1">
      <alignment horizontal="center"/>
    </xf>
    <xf numFmtId="4" fontId="21" fillId="26" borderId="64" xfId="141" applyFont="1" applyFill="1" applyBorder="1" applyAlignment="1">
      <alignment horizontal="center" vertical="center"/>
    </xf>
    <xf numFmtId="4" fontId="21" fillId="26" borderId="65" xfId="141" applyFont="1" applyFill="1" applyBorder="1" applyAlignment="1">
      <alignment horizontal="center" vertical="center"/>
    </xf>
    <xf numFmtId="4" fontId="42" fillId="0" borderId="66" xfId="141" applyFont="1" applyBorder="1" applyAlignment="1">
      <alignment horizontal="center" vertical="center"/>
    </xf>
    <xf numFmtId="4" fontId="42" fillId="0" borderId="45" xfId="141" applyFont="1" applyBorder="1" applyAlignment="1">
      <alignment horizontal="center" vertical="center"/>
    </xf>
    <xf numFmtId="4" fontId="42" fillId="0" borderId="66" xfId="141" applyFont="1" applyBorder="1" applyAlignment="1">
      <alignment horizontal="left" vertical="center" wrapText="1" indent="1"/>
    </xf>
    <xf numFmtId="4" fontId="42" fillId="0" borderId="45" xfId="141" applyFont="1" applyBorder="1" applyAlignment="1">
      <alignment horizontal="left" vertical="center" wrapText="1" indent="1"/>
    </xf>
    <xf numFmtId="4" fontId="42" fillId="0" borderId="66" xfId="141" applyNumberFormat="1" applyFont="1" applyBorder="1" applyAlignment="1">
      <alignment horizontal="center" vertical="center"/>
    </xf>
    <xf numFmtId="4" fontId="42" fillId="0" borderId="45" xfId="141" applyNumberFormat="1" applyFont="1" applyBorder="1" applyAlignment="1">
      <alignment horizontal="center" vertical="center"/>
    </xf>
    <xf numFmtId="49" fontId="42" fillId="0" borderId="67" xfId="141" applyNumberFormat="1" applyFont="1" applyBorder="1" applyAlignment="1">
      <alignment horizontal="center" vertical="center"/>
    </xf>
    <xf numFmtId="49" fontId="42" fillId="0" borderId="68" xfId="141" applyNumberFormat="1" applyFont="1" applyBorder="1" applyAlignment="1">
      <alignment horizontal="center" vertical="center"/>
    </xf>
    <xf numFmtId="49" fontId="42" fillId="0" borderId="59" xfId="141" applyNumberFormat="1" applyFont="1" applyBorder="1" applyAlignment="1">
      <alignment horizontal="center" vertical="center"/>
    </xf>
    <xf numFmtId="49" fontId="18" fillId="0" borderId="70" xfId="141" applyNumberFormat="1" applyFont="1" applyBorder="1" applyAlignment="1">
      <alignment horizontal="center" vertical="center"/>
    </xf>
    <xf numFmtId="0" fontId="2" fillId="0" borderId="71" xfId="142" applyFont="1" applyBorder="1" applyAlignment="1">
      <alignment horizontal="center" vertical="center"/>
    </xf>
    <xf numFmtId="0" fontId="2" fillId="0" borderId="72" xfId="142" applyFont="1" applyBorder="1" applyAlignment="1">
      <alignment horizontal="center" vertical="center"/>
    </xf>
    <xf numFmtId="4" fontId="18" fillId="31" borderId="79" xfId="141" applyNumberFormat="1" applyFont="1" applyFill="1" applyBorder="1" applyAlignment="1">
      <alignment horizontal="center" vertical="center"/>
    </xf>
    <xf numFmtId="4" fontId="18" fillId="31" borderId="36" xfId="141" applyNumberFormat="1" applyFont="1" applyFill="1" applyBorder="1" applyAlignment="1">
      <alignment horizontal="center" vertical="center"/>
    </xf>
    <xf numFmtId="49" fontId="42" fillId="0" borderId="103" xfId="141" applyNumberFormat="1" applyFont="1" applyBorder="1" applyAlignment="1">
      <alignment horizontal="center" vertical="center"/>
    </xf>
    <xf numFmtId="49" fontId="18" fillId="0" borderId="104" xfId="141" applyNumberFormat="1" applyFont="1" applyBorder="1" applyAlignment="1">
      <alignment horizontal="center" vertical="center"/>
    </xf>
    <xf numFmtId="0" fontId="2" fillId="0" borderId="104" xfId="142" applyFont="1" applyBorder="1" applyAlignment="1">
      <alignment horizontal="center" vertical="center"/>
    </xf>
    <xf numFmtId="4" fontId="18" fillId="0" borderId="66" xfId="141" applyNumberFormat="1" applyFont="1" applyBorder="1" applyAlignment="1">
      <alignment horizontal="center" vertical="center"/>
    </xf>
    <xf numFmtId="4" fontId="18" fillId="0" borderId="45" xfId="141" applyNumberFormat="1" applyFont="1" applyBorder="1" applyAlignment="1">
      <alignment horizontal="center" vertical="center"/>
    </xf>
    <xf numFmtId="49" fontId="42" fillId="0" borderId="66" xfId="141" applyNumberFormat="1" applyFont="1" applyBorder="1" applyAlignment="1">
      <alignment horizontal="center" vertical="center"/>
    </xf>
    <xf numFmtId="0" fontId="2" fillId="0" borderId="66" xfId="142" applyFont="1" applyBorder="1"/>
    <xf numFmtId="175" fontId="18" fillId="31" borderId="82" xfId="141" applyNumberFormat="1" applyFont="1" applyFill="1" applyBorder="1" applyAlignment="1">
      <alignment horizontal="center" vertical="center"/>
    </xf>
    <xf numFmtId="175" fontId="18" fillId="31" borderId="83" xfId="141" applyNumberFormat="1" applyFont="1" applyFill="1" applyBorder="1" applyAlignment="1">
      <alignment horizontal="center" vertical="center"/>
    </xf>
    <xf numFmtId="4" fontId="42" fillId="31" borderId="73" xfId="141" applyFont="1" applyFill="1" applyBorder="1" applyAlignment="1">
      <alignment horizontal="center" vertical="center"/>
    </xf>
    <xf numFmtId="4" fontId="42" fillId="31" borderId="80" xfId="141" applyFont="1" applyFill="1" applyBorder="1" applyAlignment="1">
      <alignment horizontal="center" vertical="center"/>
    </xf>
    <xf numFmtId="0" fontId="18" fillId="31" borderId="81" xfId="46" applyFont="1" applyFill="1" applyBorder="1" applyAlignment="1">
      <alignment horizontal="center" vertical="center"/>
    </xf>
    <xf numFmtId="4" fontId="42" fillId="31" borderId="66" xfId="141" applyNumberFormat="1" applyFont="1" applyFill="1" applyBorder="1" applyAlignment="1">
      <alignment horizontal="left" vertical="center" wrapText="1" indent="1"/>
    </xf>
    <xf numFmtId="4" fontId="42" fillId="31" borderId="80" xfId="141" applyNumberFormat="1" applyFont="1" applyFill="1" applyBorder="1" applyAlignment="1">
      <alignment horizontal="left" vertical="center" wrapText="1" indent="1"/>
    </xf>
    <xf numFmtId="4" fontId="42" fillId="31" borderId="81" xfId="141" applyNumberFormat="1" applyFont="1" applyFill="1" applyBorder="1" applyAlignment="1">
      <alignment horizontal="left" vertical="center" wrapText="1" indent="1"/>
    </xf>
    <xf numFmtId="49" fontId="42" fillId="31" borderId="66" xfId="141" applyNumberFormat="1" applyFont="1" applyFill="1" applyBorder="1" applyAlignment="1">
      <alignment horizontal="left" vertical="center"/>
    </xf>
    <xf numFmtId="49" fontId="42" fillId="31" borderId="80" xfId="141" applyNumberFormat="1" applyFont="1" applyFill="1" applyBorder="1" applyAlignment="1">
      <alignment horizontal="left" vertical="center"/>
    </xf>
    <xf numFmtId="49" fontId="42" fillId="31" borderId="81" xfId="141" applyNumberFormat="1" applyFont="1" applyFill="1" applyBorder="1" applyAlignment="1">
      <alignment horizontal="left" vertical="center"/>
    </xf>
    <xf numFmtId="4" fontId="18" fillId="31" borderId="74" xfId="141" quotePrefix="1" applyNumberFormat="1" applyFont="1" applyFill="1" applyBorder="1" applyAlignment="1">
      <alignment horizontal="center" vertical="center"/>
    </xf>
    <xf numFmtId="4" fontId="18" fillId="31" borderId="74" xfId="46" applyNumberFormat="1" applyFont="1" applyFill="1" applyBorder="1" applyAlignment="1">
      <alignment horizontal="center" vertical="center"/>
    </xf>
    <xf numFmtId="10" fontId="42" fillId="31" borderId="75" xfId="54" applyNumberFormat="1" applyFont="1" applyFill="1" applyBorder="1" applyAlignment="1">
      <alignment horizontal="center" vertical="center"/>
    </xf>
    <xf numFmtId="10" fontId="42" fillId="31" borderId="57" xfId="54" applyNumberFormat="1" applyFont="1" applyFill="1" applyBorder="1" applyAlignment="1">
      <alignment horizontal="center" vertical="center"/>
    </xf>
    <xf numFmtId="10" fontId="42" fillId="31" borderId="57" xfId="46" applyNumberFormat="1" applyFont="1" applyFill="1" applyBorder="1" applyAlignment="1">
      <alignment horizontal="center" vertical="center"/>
    </xf>
    <xf numFmtId="4" fontId="18" fillId="31" borderId="76" xfId="141" applyNumberFormat="1" applyFont="1" applyFill="1" applyBorder="1" applyAlignment="1">
      <alignment horizontal="center" vertical="center"/>
    </xf>
    <xf numFmtId="4" fontId="18" fillId="31" borderId="78" xfId="141" applyNumberFormat="1" applyFont="1" applyFill="1" applyBorder="1" applyAlignment="1">
      <alignment horizontal="center" vertical="center"/>
    </xf>
    <xf numFmtId="4" fontId="42" fillId="0" borderId="73" xfId="141" applyFont="1" applyFill="1" applyBorder="1" applyAlignment="1">
      <alignment horizontal="center" vertical="center"/>
    </xf>
    <xf numFmtId="4" fontId="42" fillId="0" borderId="80" xfId="141" applyFont="1" applyFill="1" applyBorder="1" applyAlignment="1">
      <alignment horizontal="center" vertical="center"/>
    </xf>
    <xf numFmtId="0" fontId="18" fillId="0" borderId="81" xfId="46" applyFont="1" applyFill="1" applyBorder="1" applyAlignment="1">
      <alignment horizontal="center" vertical="center"/>
    </xf>
    <xf numFmtId="4" fontId="42" fillId="0" borderId="73" xfId="141" applyNumberFormat="1" applyFont="1" applyBorder="1" applyAlignment="1">
      <alignment horizontal="left" vertical="center" wrapText="1" indent="1"/>
    </xf>
    <xf numFmtId="4" fontId="42" fillId="0" borderId="80" xfId="141" applyNumberFormat="1" applyFont="1" applyBorder="1" applyAlignment="1">
      <alignment horizontal="left" vertical="center" wrapText="1" indent="1"/>
    </xf>
    <xf numFmtId="4" fontId="42" fillId="0" borderId="81" xfId="141" applyNumberFormat="1" applyFont="1" applyBorder="1" applyAlignment="1">
      <alignment horizontal="left" vertical="center" wrapText="1" indent="1"/>
    </xf>
    <xf numFmtId="49" fontId="42" fillId="0" borderId="73" xfId="141" applyNumberFormat="1" applyFont="1" applyBorder="1" applyAlignment="1">
      <alignment horizontal="left" vertical="center"/>
    </xf>
    <xf numFmtId="49" fontId="42" fillId="0" borderId="80" xfId="141" applyNumberFormat="1" applyFont="1" applyBorder="1" applyAlignment="1">
      <alignment horizontal="left" vertical="center"/>
    </xf>
    <xf numFmtId="10" fontId="18" fillId="31" borderId="82" xfId="141" applyNumberFormat="1" applyFont="1" applyFill="1" applyBorder="1" applyAlignment="1">
      <alignment horizontal="center" vertical="center"/>
    </xf>
    <xf numFmtId="10" fontId="18" fillId="31" borderId="83" xfId="141" applyNumberFormat="1" applyFont="1" applyFill="1" applyBorder="1" applyAlignment="1">
      <alignment horizontal="center" vertical="center"/>
    </xf>
    <xf numFmtId="4" fontId="18" fillId="31" borderId="88" xfId="141" applyNumberFormat="1" applyFont="1" applyFill="1" applyBorder="1" applyAlignment="1">
      <alignment horizontal="center" vertical="center"/>
    </xf>
    <xf numFmtId="0" fontId="18" fillId="31" borderId="80" xfId="46" applyFont="1" applyFill="1" applyBorder="1" applyAlignment="1">
      <alignment horizontal="left" vertical="center" wrapText="1" indent="1"/>
    </xf>
    <xf numFmtId="49" fontId="42" fillId="31" borderId="80" xfId="141" quotePrefix="1" applyNumberFormat="1" applyFont="1" applyFill="1" applyBorder="1" applyAlignment="1">
      <alignment horizontal="left" vertical="center"/>
    </xf>
    <xf numFmtId="49" fontId="18" fillId="31" borderId="80" xfId="46" applyNumberFormat="1" applyFont="1" applyFill="1" applyBorder="1" applyAlignment="1">
      <alignment horizontal="left" vertical="center"/>
    </xf>
    <xf numFmtId="4" fontId="18" fillId="31" borderId="74" xfId="141" applyNumberFormat="1" applyFont="1" applyFill="1" applyBorder="1" applyAlignment="1">
      <alignment horizontal="center" vertical="center"/>
    </xf>
    <xf numFmtId="10" fontId="18" fillId="0" borderId="82" xfId="141" applyNumberFormat="1" applyFont="1" applyBorder="1" applyAlignment="1">
      <alignment horizontal="center" vertical="center"/>
    </xf>
    <xf numFmtId="10" fontId="18" fillId="0" borderId="83" xfId="141" applyNumberFormat="1" applyFont="1" applyBorder="1" applyAlignment="1">
      <alignment horizontal="center" vertical="center"/>
    </xf>
    <xf numFmtId="4" fontId="42" fillId="31" borderId="73" xfId="141" quotePrefix="1" applyNumberFormat="1" applyFont="1" applyFill="1" applyBorder="1" applyAlignment="1">
      <alignment horizontal="left" vertical="center" wrapText="1" indent="1"/>
    </xf>
    <xf numFmtId="4" fontId="42" fillId="31" borderId="80" xfId="141" quotePrefix="1" applyNumberFormat="1" applyFont="1" applyFill="1" applyBorder="1" applyAlignment="1">
      <alignment horizontal="left" vertical="center" wrapText="1" indent="1"/>
    </xf>
    <xf numFmtId="4" fontId="18" fillId="31" borderId="81" xfId="141" applyFont="1" applyFill="1" applyBorder="1" applyAlignment="1">
      <alignment horizontal="left" vertical="center" wrapText="1" indent="1"/>
    </xf>
    <xf numFmtId="49" fontId="42" fillId="31" borderId="73" xfId="141" quotePrefix="1" applyNumberFormat="1" applyFont="1" applyFill="1" applyBorder="1" applyAlignment="1">
      <alignment horizontal="left" vertical="center"/>
    </xf>
    <xf numFmtId="49" fontId="18" fillId="31" borderId="81" xfId="141" applyNumberFormat="1" applyFont="1" applyFill="1" applyBorder="1" applyAlignment="1">
      <alignment horizontal="left" vertical="center"/>
    </xf>
    <xf numFmtId="4" fontId="18" fillId="31" borderId="85" xfId="141" quotePrefix="1" applyNumberFormat="1" applyFont="1" applyFill="1" applyBorder="1" applyAlignment="1">
      <alignment horizontal="center" vertical="center"/>
    </xf>
    <xf numFmtId="4" fontId="18" fillId="31" borderId="87" xfId="141" applyNumberFormat="1" applyFont="1" applyFill="1" applyBorder="1" applyAlignment="1">
      <alignment horizontal="center" vertical="center"/>
    </xf>
    <xf numFmtId="0" fontId="42" fillId="31" borderId="80" xfId="46" applyFont="1" applyFill="1" applyBorder="1" applyAlignment="1">
      <alignment horizontal="center" vertical="center"/>
    </xf>
    <xf numFmtId="4" fontId="42" fillId="31" borderId="80" xfId="141" applyFont="1" applyFill="1" applyBorder="1" applyAlignment="1">
      <alignment horizontal="left" vertical="center" wrapText="1" indent="1"/>
    </xf>
    <xf numFmtId="0" fontId="18" fillId="31" borderId="80" xfId="46" applyFont="1" applyFill="1" applyBorder="1" applyAlignment="1">
      <alignment horizontal="center" vertical="center"/>
    </xf>
    <xf numFmtId="4" fontId="18" fillId="31" borderId="80" xfId="141" applyFont="1" applyFill="1" applyBorder="1" applyAlignment="1">
      <alignment horizontal="left" vertical="center" wrapText="1" indent="1"/>
    </xf>
    <xf numFmtId="49" fontId="18" fillId="31" borderId="80" xfId="141" applyNumberFormat="1" applyFont="1" applyFill="1" applyBorder="1" applyAlignment="1">
      <alignment horizontal="left" vertical="center"/>
    </xf>
    <xf numFmtId="4" fontId="18" fillId="0" borderId="91" xfId="54" applyNumberFormat="1" applyFont="1" applyBorder="1" applyAlignment="1">
      <alignment horizontal="center" vertical="center"/>
    </xf>
    <xf numFmtId="49" fontId="16" fillId="0" borderId="0" xfId="143" applyNumberFormat="1" applyFont="1" applyFill="1" applyAlignment="1">
      <alignment horizontal="center" vertical="center"/>
    </xf>
    <xf numFmtId="4" fontId="81" fillId="0" borderId="0" xfId="141" applyNumberFormat="1" applyFont="1" applyBorder="1" applyAlignment="1">
      <alignment horizontal="center"/>
    </xf>
    <xf numFmtId="4" fontId="82" fillId="0" borderId="0" xfId="141" applyNumberFormat="1" applyFont="1" applyBorder="1" applyAlignment="1">
      <alignment horizontal="center"/>
    </xf>
    <xf numFmtId="4" fontId="42" fillId="0" borderId="94" xfId="141" applyFont="1" applyBorder="1" applyAlignment="1">
      <alignment horizontal="right" vertical="center" indent="2"/>
    </xf>
    <xf numFmtId="4" fontId="42" fillId="0" borderId="95" xfId="141" applyFont="1" applyBorder="1" applyAlignment="1">
      <alignment horizontal="right" vertical="center" indent="2"/>
    </xf>
    <xf numFmtId="4" fontId="42" fillId="0" borderId="96" xfId="141" applyFont="1" applyBorder="1" applyAlignment="1">
      <alignment horizontal="right" vertical="center" indent="2"/>
    </xf>
    <xf numFmtId="10" fontId="18" fillId="0" borderId="70" xfId="141" applyNumberFormat="1" applyFont="1" applyBorder="1" applyAlignment="1">
      <alignment horizontal="center" vertical="center"/>
    </xf>
    <xf numFmtId="10" fontId="2" fillId="0" borderId="71" xfId="142" applyNumberFormat="1" applyFont="1" applyBorder="1" applyAlignment="1">
      <alignment horizontal="center" vertical="center"/>
    </xf>
    <xf numFmtId="4" fontId="42" fillId="0" borderId="92" xfId="141" applyFont="1" applyBorder="1" applyAlignment="1">
      <alignment horizontal="right" vertical="center" indent="2"/>
    </xf>
    <xf numFmtId="4" fontId="42" fillId="0" borderId="93" xfId="141" applyFont="1" applyBorder="1" applyAlignment="1">
      <alignment horizontal="right" vertical="center" indent="2"/>
    </xf>
    <xf numFmtId="4" fontId="42" fillId="0" borderId="60" xfId="141" applyFont="1" applyBorder="1" applyAlignment="1">
      <alignment horizontal="right" vertical="center" indent="2"/>
    </xf>
    <xf numFmtId="4" fontId="18" fillId="0" borderId="56" xfId="141" applyNumberFormat="1" applyFont="1" applyBorder="1" applyAlignment="1">
      <alignment horizontal="center" vertical="center"/>
    </xf>
    <xf numFmtId="10" fontId="18" fillId="0" borderId="56" xfId="141" applyNumberFormat="1" applyFont="1" applyBorder="1" applyAlignment="1">
      <alignment horizontal="center" vertical="center"/>
    </xf>
    <xf numFmtId="4" fontId="42" fillId="0" borderId="89" xfId="141" applyFont="1" applyBorder="1" applyAlignment="1">
      <alignment horizontal="left" vertical="center" indent="1"/>
    </xf>
    <xf numFmtId="0" fontId="2" fillId="0" borderId="69" xfId="142" applyFont="1" applyBorder="1" applyAlignment="1">
      <alignment horizontal="left" vertical="center" indent="1"/>
    </xf>
    <xf numFmtId="0" fontId="70" fillId="0" borderId="0" xfId="69" applyFont="1" applyFill="1" applyBorder="1" applyAlignment="1">
      <alignment horizontal="center" vertical="center" wrapText="1"/>
    </xf>
    <xf numFmtId="0" fontId="78" fillId="0" borderId="0" xfId="69" applyFont="1" applyFill="1" applyAlignment="1">
      <alignment horizontal="center" vertical="center"/>
    </xf>
    <xf numFmtId="0" fontId="43" fillId="0" borderId="0" xfId="69" applyFont="1" applyFill="1" applyAlignment="1">
      <alignment horizontal="left" vertical="center" indent="1"/>
    </xf>
    <xf numFmtId="0" fontId="1" fillId="0" borderId="0" xfId="69" applyFont="1" applyAlignment="1">
      <alignment horizontal="left" vertical="center" indent="1"/>
    </xf>
    <xf numFmtId="4" fontId="18" fillId="0" borderId="0" xfId="71" applyNumberFormat="1" applyFont="1" applyFill="1" applyAlignment="1">
      <alignment horizontal="right"/>
    </xf>
    <xf numFmtId="4" fontId="42" fillId="0" borderId="0" xfId="71" applyNumberFormat="1" applyFont="1" applyFill="1" applyAlignment="1">
      <alignment horizontal="right"/>
    </xf>
    <xf numFmtId="0" fontId="92" fillId="0" borderId="0" xfId="69" applyFont="1" applyFill="1" applyAlignment="1">
      <alignment horizontal="center" vertical="center"/>
    </xf>
    <xf numFmtId="0" fontId="95" fillId="31" borderId="0" xfId="0" applyFont="1" applyFill="1" applyBorder="1" applyAlignment="1">
      <alignment horizontal="center" vertical="center" shrinkToFit="1"/>
    </xf>
    <xf numFmtId="0" fontId="79" fillId="0" borderId="0" xfId="69" applyFont="1" applyFill="1" applyAlignment="1">
      <alignment horizontal="center" vertical="center"/>
    </xf>
    <xf numFmtId="0" fontId="46" fillId="26" borderId="26" xfId="69" applyFont="1" applyFill="1" applyBorder="1" applyAlignment="1">
      <alignment horizontal="center" vertical="center"/>
    </xf>
    <xf numFmtId="0" fontId="75" fillId="26" borderId="16" xfId="69" applyFont="1" applyFill="1" applyBorder="1" applyAlignment="1">
      <alignment horizontal="center" vertical="center"/>
    </xf>
    <xf numFmtId="0" fontId="46" fillId="26" borderId="27" xfId="69" applyFont="1" applyFill="1" applyBorder="1" applyAlignment="1">
      <alignment horizontal="left" vertical="center" wrapText="1" indent="1"/>
    </xf>
    <xf numFmtId="0" fontId="75" fillId="26" borderId="10" xfId="69" applyFont="1" applyFill="1" applyBorder="1" applyAlignment="1">
      <alignment horizontal="left" vertical="center" wrapText="1" indent="1"/>
    </xf>
    <xf numFmtId="0" fontId="46" fillId="26" borderId="27" xfId="69" applyFont="1" applyFill="1" applyBorder="1" applyAlignment="1">
      <alignment horizontal="center" vertical="center"/>
    </xf>
    <xf numFmtId="0" fontId="3" fillId="26" borderId="10" xfId="69" applyFont="1" applyFill="1" applyBorder="1" applyAlignment="1">
      <alignment horizontal="center" vertical="center"/>
    </xf>
    <xf numFmtId="4" fontId="46" fillId="26" borderId="27" xfId="71" applyNumberFormat="1" applyFont="1" applyFill="1" applyBorder="1" applyAlignment="1">
      <alignment horizontal="center" vertical="center"/>
    </xf>
    <xf numFmtId="4" fontId="3" fillId="26" borderId="10" xfId="69" applyNumberFormat="1" applyFont="1" applyFill="1" applyBorder="1" applyAlignment="1">
      <alignment horizontal="center" vertical="center"/>
    </xf>
    <xf numFmtId="4" fontId="76" fillId="26" borderId="10" xfId="69" applyNumberFormat="1" applyFont="1" applyFill="1" applyBorder="1" applyAlignment="1">
      <alignment horizontal="center" vertical="center"/>
    </xf>
    <xf numFmtId="4" fontId="46" fillId="26" borderId="28" xfId="71" applyNumberFormat="1" applyFont="1" applyFill="1" applyBorder="1" applyAlignment="1">
      <alignment horizontal="center" vertical="center"/>
    </xf>
    <xf numFmtId="4" fontId="3" fillId="26" borderId="17" xfId="69" applyNumberFormat="1" applyFont="1" applyFill="1" applyBorder="1" applyAlignment="1">
      <alignment horizontal="center" vertical="center"/>
    </xf>
    <xf numFmtId="0" fontId="46" fillId="28" borderId="40" xfId="69" applyFont="1" applyFill="1" applyBorder="1" applyAlignment="1">
      <alignment horizontal="right" vertical="center" indent="1"/>
    </xf>
    <xf numFmtId="0" fontId="46" fillId="28" borderId="63" xfId="69" applyFont="1" applyFill="1" applyBorder="1" applyAlignment="1">
      <alignment horizontal="right" vertical="center" indent="1"/>
    </xf>
    <xf numFmtId="0" fontId="46" fillId="28" borderId="41" xfId="69" applyFont="1" applyFill="1" applyBorder="1" applyAlignment="1">
      <alignment horizontal="right" vertical="center" indent="1"/>
    </xf>
    <xf numFmtId="0" fontId="52" fillId="0" borderId="0" xfId="0" applyFont="1" applyFill="1" applyBorder="1" applyAlignment="1">
      <alignment horizontal="right" vertical="top" wrapText="1"/>
    </xf>
    <xf numFmtId="0" fontId="57" fillId="0" borderId="0" xfId="0" applyFont="1" applyFill="1" applyBorder="1" applyAlignment="1">
      <alignment horizontal="right" vertical="top" wrapText="1"/>
    </xf>
    <xf numFmtId="4" fontId="52" fillId="0" borderId="0" xfId="0" applyNumberFormat="1" applyFont="1" applyFill="1" applyBorder="1" applyAlignment="1">
      <alignment horizontal="right" vertical="top" wrapText="1"/>
    </xf>
    <xf numFmtId="4" fontId="52" fillId="0" borderId="0" xfId="0" applyNumberFormat="1" applyFont="1" applyFill="1" applyBorder="1" applyAlignment="1">
      <alignment vertical="top" wrapText="1"/>
    </xf>
    <xf numFmtId="169" fontId="52" fillId="0" borderId="0" xfId="0" applyNumberFormat="1" applyFont="1" applyFill="1" applyBorder="1" applyAlignment="1">
      <alignment horizontal="right" vertical="top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57" fillId="0" borderId="0" xfId="0" applyFont="1" applyFill="1" applyBorder="1" applyAlignment="1">
      <alignment horizontal="justify" vertical="top" wrapText="1"/>
    </xf>
    <xf numFmtId="0" fontId="95" fillId="24" borderId="0" xfId="0" applyFont="1" applyFill="1" applyBorder="1" applyAlignment="1">
      <alignment horizontal="left" vertical="center" wrapText="1"/>
    </xf>
    <xf numFmtId="4" fontId="52" fillId="27" borderId="0" xfId="0" applyNumberFormat="1" applyFont="1" applyFill="1" applyBorder="1" applyAlignment="1">
      <alignment vertical="top" wrapText="1"/>
    </xf>
    <xf numFmtId="169" fontId="52" fillId="0" borderId="0" xfId="0" applyNumberFormat="1" applyFont="1" applyFill="1" applyAlignment="1">
      <alignment horizontal="right" vertical="top" wrapText="1"/>
    </xf>
    <xf numFmtId="43" fontId="52" fillId="0" borderId="0" xfId="37" applyNumberFormat="1" applyFont="1" applyFill="1" applyBorder="1" applyAlignment="1">
      <alignment vertical="top" wrapText="1"/>
    </xf>
    <xf numFmtId="169" fontId="52" fillId="0" borderId="0" xfId="48" applyNumberFormat="1" applyFont="1" applyFill="1" applyAlignment="1">
      <alignment horizontal="right" vertical="top" wrapText="1"/>
    </xf>
    <xf numFmtId="0" fontId="56" fillId="0" borderId="0" xfId="0" applyFont="1" applyFill="1" applyBorder="1" applyAlignment="1">
      <alignment horizontal="left" vertical="center" wrapText="1"/>
    </xf>
    <xf numFmtId="4" fontId="52" fillId="0" borderId="0" xfId="0" applyNumberFormat="1" applyFont="1" applyFill="1" applyAlignment="1">
      <alignment horizontal="right" vertical="top" wrapText="1"/>
    </xf>
    <xf numFmtId="169" fontId="52" fillId="27" borderId="0" xfId="0" applyNumberFormat="1" applyFont="1" applyFill="1" applyBorder="1" applyAlignment="1">
      <alignment horizontal="right" vertical="top" wrapText="1"/>
    </xf>
    <xf numFmtId="0" fontId="52" fillId="0" borderId="0" xfId="0" applyFont="1" applyFill="1" applyBorder="1" applyAlignment="1" applyProtection="1">
      <alignment horizontal="right" vertical="top" wrapText="1"/>
    </xf>
    <xf numFmtId="0" fontId="55" fillId="26" borderId="0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 applyProtection="1">
      <alignment horizontal="right" vertical="top" wrapText="1"/>
    </xf>
    <xf numFmtId="0" fontId="52" fillId="0" borderId="0" xfId="48" applyFont="1" applyFill="1" applyBorder="1" applyAlignment="1">
      <alignment horizontal="right" vertical="top" wrapText="1"/>
    </xf>
    <xf numFmtId="169" fontId="52" fillId="0" borderId="0" xfId="0" applyNumberFormat="1" applyFont="1" applyFill="1" applyBorder="1" applyAlignment="1" applyProtection="1">
      <alignment horizontal="right" vertical="top" wrapText="1"/>
    </xf>
    <xf numFmtId="0" fontId="55" fillId="24" borderId="0" xfId="0" applyFont="1" applyFill="1" applyBorder="1" applyAlignment="1">
      <alignment horizontal="left" vertical="center" wrapText="1"/>
    </xf>
    <xf numFmtId="4" fontId="52" fillId="0" borderId="0" xfId="0" applyNumberFormat="1" applyFont="1" applyFill="1" applyBorder="1" applyAlignment="1" applyProtection="1">
      <alignment vertical="top" wrapText="1"/>
    </xf>
    <xf numFmtId="0" fontId="54" fillId="0" borderId="0" xfId="0" applyFont="1" applyFill="1" applyBorder="1" applyAlignment="1">
      <alignment horizontal="center" vertical="center" wrapText="1"/>
    </xf>
    <xf numFmtId="0" fontId="55" fillId="26" borderId="51" xfId="0" applyFont="1" applyFill="1" applyBorder="1" applyAlignment="1">
      <alignment horizontal="center" vertical="center" wrapText="1"/>
    </xf>
    <xf numFmtId="0" fontId="55" fillId="26" borderId="35" xfId="0" applyFont="1" applyFill="1" applyBorder="1" applyAlignment="1">
      <alignment horizontal="center" vertical="center" wrapText="1"/>
    </xf>
    <xf numFmtId="0" fontId="54" fillId="0" borderId="49" xfId="0" applyFont="1" applyFill="1" applyBorder="1" applyAlignment="1">
      <alignment horizontal="center" vertical="center" wrapText="1"/>
    </xf>
    <xf numFmtId="169" fontId="52" fillId="0" borderId="0" xfId="59" applyNumberFormat="1" applyFont="1" applyBorder="1" applyAlignment="1">
      <alignment horizontal="right" vertical="top" wrapText="1"/>
    </xf>
    <xf numFmtId="0" fontId="57" fillId="0" borderId="0" xfId="48" applyFont="1" applyFill="1" applyBorder="1" applyAlignment="1">
      <alignment horizontal="right" vertical="top" wrapText="1"/>
    </xf>
    <xf numFmtId="0" fontId="57" fillId="0" borderId="0" xfId="48" applyFont="1" applyFill="1" applyBorder="1" applyAlignment="1">
      <alignment horizontal="justify" vertical="top" wrapText="1"/>
    </xf>
    <xf numFmtId="169" fontId="52" fillId="0" borderId="0" xfId="59" applyNumberFormat="1" applyFont="1" applyFill="1" applyBorder="1" applyAlignment="1">
      <alignment horizontal="right" vertical="top" wrapText="1"/>
    </xf>
    <xf numFmtId="0" fontId="57" fillId="0" borderId="0" xfId="0" applyFont="1" applyFill="1" applyBorder="1" applyAlignment="1">
      <alignment horizontal="justify" vertical="top"/>
    </xf>
    <xf numFmtId="0" fontId="42" fillId="0" borderId="0" xfId="0" applyFont="1" applyFill="1" applyBorder="1" applyAlignment="1">
      <alignment horizontal="justify" vertical="top" wrapText="1"/>
    </xf>
    <xf numFmtId="0" fontId="42" fillId="0" borderId="0" xfId="0" applyFont="1" applyFill="1" applyBorder="1" applyAlignment="1" applyProtection="1">
      <alignment horizontal="justify" vertical="top" wrapText="1"/>
    </xf>
    <xf numFmtId="169" fontId="52" fillId="0" borderId="0" xfId="0" applyNumberFormat="1" applyFont="1" applyFill="1" applyAlignment="1" applyProtection="1">
      <alignment horizontal="right" vertical="top" wrapText="1"/>
    </xf>
    <xf numFmtId="0" fontId="57" fillId="0" borderId="0" xfId="0" applyFont="1" applyFill="1" applyBorder="1" applyAlignment="1">
      <alignment horizontal="left" vertical="top" wrapText="1"/>
    </xf>
    <xf numFmtId="4" fontId="57" fillId="0" borderId="0" xfId="0" applyNumberFormat="1" applyFont="1" applyFill="1" applyBorder="1" applyAlignment="1">
      <alignment horizontal="right" vertical="top" wrapText="1"/>
    </xf>
    <xf numFmtId="169" fontId="52" fillId="0" borderId="0" xfId="0" quotePrefix="1" applyNumberFormat="1" applyFont="1" applyFill="1" applyBorder="1" applyAlignment="1">
      <alignment horizontal="right" vertical="top" wrapText="1"/>
    </xf>
    <xf numFmtId="0" fontId="55" fillId="0" borderId="0" xfId="0" applyFont="1" applyFill="1" applyBorder="1" applyAlignment="1">
      <alignment horizontal="left" vertical="center" wrapText="1"/>
    </xf>
    <xf numFmtId="0" fontId="88" fillId="0" borderId="0" xfId="48" applyFont="1" applyFill="1" applyBorder="1" applyAlignment="1">
      <alignment horizontal="center" vertical="center" wrapText="1"/>
    </xf>
    <xf numFmtId="0" fontId="88" fillId="0" borderId="0" xfId="48" applyFont="1" applyFill="1" applyBorder="1" applyAlignment="1">
      <alignment horizontal="center" vertical="center"/>
    </xf>
    <xf numFmtId="171" fontId="0" fillId="0" borderId="12" xfId="37" applyNumberFormat="1" applyFont="1" applyBorder="1" applyAlignment="1">
      <alignment horizontal="center" vertical="center"/>
    </xf>
    <xf numFmtId="171" fontId="0" fillId="0" borderId="22" xfId="37" applyNumberFormat="1" applyFont="1" applyBorder="1" applyAlignment="1">
      <alignment horizontal="center" vertical="center"/>
    </xf>
    <xf numFmtId="0" fontId="51" fillId="25" borderId="0" xfId="0" applyFont="1" applyFill="1" applyAlignment="1">
      <alignment horizontal="center"/>
    </xf>
    <xf numFmtId="0" fontId="0" fillId="0" borderId="12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4" fontId="21" fillId="0" borderId="10" xfId="0" applyNumberFormat="1" applyFont="1" applyFill="1" applyBorder="1" applyAlignment="1">
      <alignment horizontal="right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1" fillId="0" borderId="0" xfId="0" quotePrefix="1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89" fillId="0" borderId="0" xfId="0" applyFont="1" applyBorder="1" applyAlignment="1">
      <alignment horizontal="left"/>
    </xf>
    <xf numFmtId="0" fontId="89" fillId="0" borderId="29" xfId="0" applyFont="1" applyBorder="1" applyAlignment="1">
      <alignment horizontal="left"/>
    </xf>
    <xf numFmtId="164" fontId="51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29" xfId="0" applyFont="1" applyBorder="1" applyAlignment="1">
      <alignment horizontal="left"/>
    </xf>
    <xf numFmtId="0" fontId="42" fillId="0" borderId="10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top"/>
    </xf>
    <xf numFmtId="0" fontId="21" fillId="0" borderId="0" xfId="0" applyFont="1" applyBorder="1" applyAlignment="1">
      <alignment horizontal="left" vertical="top"/>
    </xf>
    <xf numFmtId="0" fontId="21" fillId="0" borderId="44" xfId="0" applyFont="1" applyBorder="1" applyAlignment="1">
      <alignment horizontal="left" vertical="top"/>
    </xf>
    <xf numFmtId="0" fontId="21" fillId="0" borderId="15" xfId="0" applyFont="1" applyBorder="1" applyAlignment="1">
      <alignment horizontal="left" vertical="top"/>
    </xf>
    <xf numFmtId="0" fontId="85" fillId="0" borderId="43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5" fillId="0" borderId="29" xfId="0" applyFont="1" applyBorder="1" applyAlignment="1">
      <alignment horizontal="center"/>
    </xf>
    <xf numFmtId="0" fontId="90" fillId="0" borderId="10" xfId="0" applyFont="1" applyBorder="1" applyAlignment="1">
      <alignment horizontal="center" vertical="center"/>
    </xf>
    <xf numFmtId="0" fontId="90" fillId="0" borderId="10" xfId="0" applyFont="1" applyBorder="1" applyAlignment="1">
      <alignment horizontal="center"/>
    </xf>
    <xf numFmtId="0" fontId="90" fillId="0" borderId="10" xfId="0" applyFont="1" applyBorder="1" applyAlignment="1">
      <alignment horizontal="center" vertical="center" textRotation="90"/>
    </xf>
    <xf numFmtId="0" fontId="90" fillId="0" borderId="54" xfId="0" applyFont="1" applyBorder="1" applyAlignment="1">
      <alignment horizontal="center"/>
    </xf>
    <xf numFmtId="0" fontId="90" fillId="0" borderId="42" xfId="0" applyFont="1" applyBorder="1" applyAlignment="1">
      <alignment horizontal="center"/>
    </xf>
    <xf numFmtId="0" fontId="90" fillId="0" borderId="11" xfId="0" applyFont="1" applyBorder="1" applyAlignment="1">
      <alignment horizontal="center"/>
    </xf>
    <xf numFmtId="0" fontId="91" fillId="0" borderId="10" xfId="0" applyFont="1" applyBorder="1" applyAlignment="1">
      <alignment horizontal="center" vertical="center"/>
    </xf>
    <xf numFmtId="0" fontId="42" fillId="0" borderId="54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4" fontId="21" fillId="29" borderId="54" xfId="0" applyNumberFormat="1" applyFont="1" applyFill="1" applyBorder="1" applyAlignment="1">
      <alignment horizontal="left"/>
    </xf>
    <xf numFmtId="4" fontId="21" fillId="29" borderId="42" xfId="0" applyNumberFormat="1" applyFont="1" applyFill="1" applyBorder="1" applyAlignment="1">
      <alignment horizontal="left"/>
    </xf>
    <xf numFmtId="4" fontId="21" fillId="29" borderId="11" xfId="0" applyNumberFormat="1" applyFont="1" applyFill="1" applyBorder="1" applyAlignment="1">
      <alignment horizontal="left"/>
    </xf>
    <xf numFmtId="4" fontId="21" fillId="29" borderId="54" xfId="203" applyNumberFormat="1" applyFont="1" applyFill="1" applyBorder="1" applyAlignment="1">
      <alignment horizontal="left"/>
    </xf>
    <xf numFmtId="4" fontId="21" fillId="29" borderId="42" xfId="203" applyNumberFormat="1" applyFont="1" applyFill="1" applyBorder="1" applyAlignment="1">
      <alignment horizontal="left"/>
    </xf>
    <xf numFmtId="4" fontId="21" fillId="29" borderId="11" xfId="203" applyNumberFormat="1" applyFont="1" applyFill="1" applyBorder="1" applyAlignment="1">
      <alignment horizontal="left"/>
    </xf>
    <xf numFmtId="4" fontId="91" fillId="0" borderId="10" xfId="0" applyNumberFormat="1" applyFont="1" applyBorder="1" applyAlignment="1">
      <alignment horizontal="left" vertical="top"/>
    </xf>
    <xf numFmtId="4" fontId="21" fillId="29" borderId="54" xfId="0" applyNumberFormat="1" applyFont="1" applyFill="1" applyBorder="1" applyAlignment="1">
      <alignment horizontal="left" vertical="center"/>
    </xf>
    <xf numFmtId="4" fontId="21" fillId="29" borderId="42" xfId="0" applyNumberFormat="1" applyFont="1" applyFill="1" applyBorder="1" applyAlignment="1">
      <alignment horizontal="left" vertical="center"/>
    </xf>
    <xf numFmtId="4" fontId="21" fillId="29" borderId="11" xfId="0" applyNumberFormat="1" applyFont="1" applyFill="1" applyBorder="1" applyAlignment="1">
      <alignment horizontal="left" vertical="center"/>
    </xf>
    <xf numFmtId="0" fontId="0" fillId="0" borderId="54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1" xfId="0" applyBorder="1" applyAlignment="1">
      <alignment horizontal="center"/>
    </xf>
    <xf numFmtId="0" fontId="16" fillId="24" borderId="36" xfId="0" applyFont="1" applyFill="1" applyBorder="1" applyAlignment="1">
      <alignment horizontal="center" vertical="center"/>
    </xf>
    <xf numFmtId="0" fontId="16" fillId="24" borderId="37" xfId="0" applyFont="1" applyFill="1" applyBorder="1" applyAlignment="1">
      <alignment horizontal="center" vertical="center"/>
    </xf>
    <xf numFmtId="0" fontId="16" fillId="24" borderId="28" xfId="0" applyFont="1" applyFill="1" applyBorder="1" applyAlignment="1">
      <alignment horizontal="center" vertical="center"/>
    </xf>
    <xf numFmtId="0" fontId="16" fillId="24" borderId="20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/>
    </xf>
    <xf numFmtId="0" fontId="16" fillId="0" borderId="33" xfId="0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/>
    </xf>
    <xf numFmtId="43" fontId="21" fillId="0" borderId="19" xfId="37" applyFont="1" applyBorder="1" applyAlignment="1">
      <alignment horizontal="center"/>
    </xf>
    <xf numFmtId="0" fontId="0" fillId="0" borderId="16" xfId="0" applyBorder="1" applyAlignment="1">
      <alignment horizontal="left" vertical="center"/>
    </xf>
    <xf numFmtId="0" fontId="21" fillId="24" borderId="26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43" fontId="21" fillId="24" borderId="27" xfId="37" applyFont="1" applyFill="1" applyBorder="1" applyAlignment="1">
      <alignment horizontal="center" vertical="center"/>
    </xf>
    <xf numFmtId="43" fontId="21" fillId="24" borderId="19" xfId="37" applyFont="1" applyFill="1" applyBorder="1" applyAlignment="1">
      <alignment horizontal="center" vertical="center"/>
    </xf>
    <xf numFmtId="0" fontId="16" fillId="24" borderId="27" xfId="0" applyFont="1" applyFill="1" applyBorder="1" applyAlignment="1">
      <alignment horizontal="center"/>
    </xf>
    <xf numFmtId="0" fontId="0" fillId="24" borderId="27" xfId="0" applyFill="1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24" borderId="26" xfId="0" applyFont="1" applyFill="1" applyBorder="1" applyAlignment="1">
      <alignment horizontal="center"/>
    </xf>
    <xf numFmtId="0" fontId="16" fillId="24" borderId="28" xfId="0" applyFont="1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6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24" borderId="10" xfId="0" applyFont="1" applyFill="1" applyBorder="1" applyAlignment="1">
      <alignment horizontal="center"/>
    </xf>
    <xf numFmtId="4" fontId="43" fillId="0" borderId="12" xfId="0" applyNumberFormat="1" applyFont="1" applyFill="1" applyBorder="1" applyAlignment="1">
      <alignment horizontal="center" vertical="center"/>
    </xf>
    <xf numFmtId="4" fontId="43" fillId="0" borderId="30" xfId="0" applyNumberFormat="1" applyFont="1" applyFill="1" applyBorder="1" applyAlignment="1">
      <alignment horizontal="center" vertical="center"/>
    </xf>
    <xf numFmtId="4" fontId="43" fillId="0" borderId="2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16" fillId="0" borderId="9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00" xfId="0" applyFont="1" applyBorder="1" applyAlignment="1">
      <alignment horizontal="center" vertical="center"/>
    </xf>
    <xf numFmtId="0" fontId="57" fillId="0" borderId="0" xfId="0" applyFont="1" applyFill="1" applyBorder="1" applyAlignment="1">
      <alignment horizontal="justify" vertical="center" wrapText="1"/>
    </xf>
    <xf numFmtId="0" fontId="42" fillId="0" borderId="0" xfId="0" applyFont="1" applyAlignment="1">
      <alignment horizontal="left" vertical="center" wrapText="1"/>
    </xf>
    <xf numFmtId="0" fontId="57" fillId="0" borderId="0" xfId="0" applyFont="1" applyFill="1" applyBorder="1" applyAlignment="1" applyProtection="1">
      <alignment horizontal="justify" vertical="center" wrapText="1"/>
    </xf>
    <xf numFmtId="0" fontId="42" fillId="0" borderId="0" xfId="0" applyFont="1" applyAlignment="1">
      <alignment horizontal="left" wrapText="1"/>
    </xf>
    <xf numFmtId="0" fontId="42" fillId="0" borderId="0" xfId="0" applyFont="1" applyFill="1" applyBorder="1" applyAlignment="1">
      <alignment horizontal="justify" vertical="center" wrapText="1"/>
    </xf>
    <xf numFmtId="0" fontId="42" fillId="0" borderId="0" xfId="0" applyFont="1" applyFill="1" applyBorder="1" applyAlignment="1" applyProtection="1">
      <alignment horizontal="justify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67" fillId="25" borderId="0" xfId="0" applyFont="1" applyFill="1" applyBorder="1" applyAlignment="1">
      <alignment horizontal="center" vertical="center" wrapText="1"/>
    </xf>
    <xf numFmtId="0" fontId="21" fillId="25" borderId="0" xfId="0" applyNumberFormat="1" applyFont="1" applyFill="1" applyAlignment="1">
      <alignment horizontal="center" vertical="center"/>
    </xf>
    <xf numFmtId="0" fontId="57" fillId="0" borderId="0" xfId="0" applyFont="1" applyFill="1" applyBorder="1" applyAlignment="1">
      <alignment horizontal="left" vertical="center" wrapText="1"/>
    </xf>
    <xf numFmtId="0" fontId="42" fillId="0" borderId="16" xfId="0" applyFont="1" applyFill="1" applyBorder="1" applyAlignment="1">
      <alignment horizontal="left" vertical="center" wrapText="1"/>
    </xf>
    <xf numFmtId="0" fontId="42" fillId="0" borderId="10" xfId="0" applyFont="1" applyFill="1" applyBorder="1" applyAlignment="1">
      <alignment horizontal="left" vertical="center" wrapText="1"/>
    </xf>
    <xf numFmtId="0" fontId="42" fillId="0" borderId="18" xfId="0" applyFont="1" applyFill="1" applyBorder="1" applyAlignment="1">
      <alignment horizontal="left" vertical="center" wrapText="1"/>
    </xf>
    <xf numFmtId="0" fontId="42" fillId="0" borderId="19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4" fontId="18" fillId="0" borderId="0" xfId="32" applyNumberFormat="1" applyFont="1" applyFill="1" applyBorder="1" applyAlignment="1">
      <alignment horizontal="center" vertical="center" wrapText="1"/>
    </xf>
    <xf numFmtId="43" fontId="42" fillId="0" borderId="54" xfId="37" applyFont="1" applyFill="1" applyBorder="1" applyAlignment="1">
      <alignment horizontal="left" vertical="center"/>
    </xf>
    <xf numFmtId="43" fontId="42" fillId="0" borderId="11" xfId="37" applyFont="1" applyFill="1" applyBorder="1" applyAlignment="1">
      <alignment horizontal="left" vertical="center"/>
    </xf>
    <xf numFmtId="43" fontId="42" fillId="0" borderId="10" xfId="37" applyFont="1" applyFill="1" applyBorder="1" applyAlignment="1">
      <alignment horizontal="left" vertical="center"/>
    </xf>
    <xf numFmtId="0" fontId="42" fillId="0" borderId="21" xfId="0" applyFont="1" applyFill="1" applyBorder="1" applyAlignment="1">
      <alignment horizontal="left" vertical="center" wrapText="1"/>
    </xf>
    <xf numFmtId="0" fontId="42" fillId="0" borderId="22" xfId="0" applyFont="1" applyFill="1" applyBorder="1" applyAlignment="1">
      <alignment horizontal="left" vertical="center" wrapText="1"/>
    </xf>
  </cellXfs>
  <cellStyles count="1061">
    <cellStyle name="20% - Ênfase1" xfId="2" builtinId="30" customBuiltin="1"/>
    <cellStyle name="20% - Ênfase1 2" xfId="76"/>
    <cellStyle name="20% - Ênfase2" xfId="3" builtinId="34" customBuiltin="1"/>
    <cellStyle name="20% - Ênfase2 2" xfId="77"/>
    <cellStyle name="20% - Ênfase3" xfId="4" builtinId="38" customBuiltin="1"/>
    <cellStyle name="20% - Ênfase3 2" xfId="78"/>
    <cellStyle name="20% - Ênfase4" xfId="5" builtinId="42" customBuiltin="1"/>
    <cellStyle name="20% - Ênfase4 2" xfId="79"/>
    <cellStyle name="20% - Ênfase5" xfId="6" builtinId="46" customBuiltin="1"/>
    <cellStyle name="20% - Ênfase5 2" xfId="80"/>
    <cellStyle name="20% - Ênfase6" xfId="7" builtinId="50" customBuiltin="1"/>
    <cellStyle name="20% - Ênfase6 2" xfId="81"/>
    <cellStyle name="40% - Ênfase1" xfId="8" builtinId="31" customBuiltin="1"/>
    <cellStyle name="40% - Ênfase1 2" xfId="82"/>
    <cellStyle name="40% - Ênfase2" xfId="9" builtinId="35" customBuiltin="1"/>
    <cellStyle name="40% - Ênfase2 2" xfId="83"/>
    <cellStyle name="40% - Ênfase3" xfId="10" builtinId="39" customBuiltin="1"/>
    <cellStyle name="40% - Ênfase3 2" xfId="84"/>
    <cellStyle name="40% - Ênfase4" xfId="11" builtinId="43" customBuiltin="1"/>
    <cellStyle name="40% - Ênfase4 2" xfId="85"/>
    <cellStyle name="40% - Ênfase5" xfId="12" builtinId="47" customBuiltin="1"/>
    <cellStyle name="40% - Ênfase5 2" xfId="86"/>
    <cellStyle name="40% - Ênfase6" xfId="13" builtinId="51" customBuiltin="1"/>
    <cellStyle name="40% - Ênfase6 2" xfId="87"/>
    <cellStyle name="60% - Ênfase1" xfId="14" builtinId="32" customBuiltin="1"/>
    <cellStyle name="60% - Ênfase1 2" xfId="88"/>
    <cellStyle name="60% - Ênfase2" xfId="15" builtinId="36" customBuiltin="1"/>
    <cellStyle name="60% - Ênfase2 2" xfId="89"/>
    <cellStyle name="60% - Ênfase3" xfId="16" builtinId="40" customBuiltin="1"/>
    <cellStyle name="60% - Ênfase3 2" xfId="90"/>
    <cellStyle name="60% - Ênfase4" xfId="17" builtinId="44" customBuiltin="1"/>
    <cellStyle name="60% - Ênfase4 2" xfId="91"/>
    <cellStyle name="60% - Ênfase5" xfId="18" builtinId="48" customBuiltin="1"/>
    <cellStyle name="60% - Ênfase5 2" xfId="92"/>
    <cellStyle name="60% - Ênfase6" xfId="19" builtinId="52" customBuiltin="1"/>
    <cellStyle name="60% - Ênfase6 2" xfId="93"/>
    <cellStyle name="Bom" xfId="20" builtinId="26" customBuiltin="1"/>
    <cellStyle name="Bom 2" xfId="94"/>
    <cellStyle name="Cálculo" xfId="21" builtinId="22" customBuiltin="1"/>
    <cellStyle name="Cálculo 2" xfId="95"/>
    <cellStyle name="Célula de Verificação" xfId="22" builtinId="23" customBuiltin="1"/>
    <cellStyle name="Célula de Verificação 2" xfId="96"/>
    <cellStyle name="Célula Vinculada" xfId="23" builtinId="24" customBuiltin="1"/>
    <cellStyle name="Célula Vinculada 2" xfId="97"/>
    <cellStyle name="Ênfase1" xfId="24" builtinId="29" customBuiltin="1"/>
    <cellStyle name="Ênfase1 2" xfId="98"/>
    <cellStyle name="Ênfase2" xfId="25" builtinId="33" customBuiltin="1"/>
    <cellStyle name="Ênfase2 2" xfId="99"/>
    <cellStyle name="Ênfase3" xfId="26" builtinId="37" customBuiltin="1"/>
    <cellStyle name="Ênfase3 2" xfId="100"/>
    <cellStyle name="Ênfase4" xfId="27" builtinId="41" customBuiltin="1"/>
    <cellStyle name="Ênfase4 2" xfId="101"/>
    <cellStyle name="Ênfase5" xfId="28" builtinId="45" customBuiltin="1"/>
    <cellStyle name="Ênfase5 2" xfId="102"/>
    <cellStyle name="Ênfase6" xfId="29" builtinId="49" customBuiltin="1"/>
    <cellStyle name="Ênfase6 2" xfId="103"/>
    <cellStyle name="Entrada" xfId="30" builtinId="20" customBuiltin="1"/>
    <cellStyle name="Entrada 2" xfId="104"/>
    <cellStyle name="Estilo 1" xfId="1"/>
    <cellStyle name="Euro" xfId="51"/>
    <cellStyle name="Incorreto" xfId="31" builtinId="27" customBuiltin="1"/>
    <cellStyle name="Incorreto 2" xfId="105"/>
    <cellStyle name="Moeda" xfId="32" builtinId="4"/>
    <cellStyle name="Moeda 2" xfId="58"/>
    <cellStyle name="Moeda 2 2" xfId="106"/>
    <cellStyle name="Moeda 2 3" xfId="107"/>
    <cellStyle name="Moeda 2 3 10" xfId="477"/>
    <cellStyle name="Moeda 2 3 11" xfId="778"/>
    <cellStyle name="Moeda 2 3 2" xfId="108"/>
    <cellStyle name="Moeda 2 3 2 10" xfId="779"/>
    <cellStyle name="Moeda 2 3 2 2" xfId="109"/>
    <cellStyle name="Moeda 2 3 2 2 2" xfId="300"/>
    <cellStyle name="Moeda 2 3 2 2 2 2" xfId="601"/>
    <cellStyle name="Moeda 2 3 2 2 2 3" xfId="902"/>
    <cellStyle name="Moeda 2 3 2 2 3" xfId="348"/>
    <cellStyle name="Moeda 2 3 2 2 3 2" xfId="649"/>
    <cellStyle name="Moeda 2 3 2 2 3 3" xfId="950"/>
    <cellStyle name="Moeda 2 3 2 2 4" xfId="396"/>
    <cellStyle name="Moeda 2 3 2 2 4 2" xfId="697"/>
    <cellStyle name="Moeda 2 3 2 2 4 3" xfId="998"/>
    <cellStyle name="Moeda 2 3 2 2 5" xfId="438"/>
    <cellStyle name="Moeda 2 3 2 2 5 2" xfId="739"/>
    <cellStyle name="Moeda 2 3 2 2 5 3" xfId="1040"/>
    <cellStyle name="Moeda 2 3 2 2 6" xfId="253"/>
    <cellStyle name="Moeda 2 3 2 2 6 2" xfId="555"/>
    <cellStyle name="Moeda 2 3 2 2 6 3" xfId="856"/>
    <cellStyle name="Moeda 2 3 2 2 7" xfId="174"/>
    <cellStyle name="Moeda 2 3 2 2 8" xfId="479"/>
    <cellStyle name="Moeda 2 3 2 2 9" xfId="780"/>
    <cellStyle name="Moeda 2 3 2 3" xfId="299"/>
    <cellStyle name="Moeda 2 3 2 3 2" xfId="600"/>
    <cellStyle name="Moeda 2 3 2 3 3" xfId="901"/>
    <cellStyle name="Moeda 2 3 2 4" xfId="347"/>
    <cellStyle name="Moeda 2 3 2 4 2" xfId="648"/>
    <cellStyle name="Moeda 2 3 2 4 3" xfId="949"/>
    <cellStyle name="Moeda 2 3 2 5" xfId="395"/>
    <cellStyle name="Moeda 2 3 2 5 2" xfId="696"/>
    <cellStyle name="Moeda 2 3 2 5 3" xfId="997"/>
    <cellStyle name="Moeda 2 3 2 6" xfId="437"/>
    <cellStyle name="Moeda 2 3 2 6 2" xfId="738"/>
    <cellStyle name="Moeda 2 3 2 6 3" xfId="1039"/>
    <cellStyle name="Moeda 2 3 2 7" xfId="252"/>
    <cellStyle name="Moeda 2 3 2 7 2" xfId="554"/>
    <cellStyle name="Moeda 2 3 2 7 3" xfId="855"/>
    <cellStyle name="Moeda 2 3 2 8" xfId="173"/>
    <cellStyle name="Moeda 2 3 2 9" xfId="478"/>
    <cellStyle name="Moeda 2 3 3" xfId="110"/>
    <cellStyle name="Moeda 2 3 3 2" xfId="301"/>
    <cellStyle name="Moeda 2 3 3 2 2" xfId="602"/>
    <cellStyle name="Moeda 2 3 3 2 3" xfId="903"/>
    <cellStyle name="Moeda 2 3 3 3" xfId="349"/>
    <cellStyle name="Moeda 2 3 3 3 2" xfId="650"/>
    <cellStyle name="Moeda 2 3 3 3 3" xfId="951"/>
    <cellStyle name="Moeda 2 3 3 4" xfId="397"/>
    <cellStyle name="Moeda 2 3 3 4 2" xfId="698"/>
    <cellStyle name="Moeda 2 3 3 4 3" xfId="999"/>
    <cellStyle name="Moeda 2 3 3 5" xfId="439"/>
    <cellStyle name="Moeda 2 3 3 5 2" xfId="740"/>
    <cellStyle name="Moeda 2 3 3 5 3" xfId="1041"/>
    <cellStyle name="Moeda 2 3 3 6" xfId="254"/>
    <cellStyle name="Moeda 2 3 3 6 2" xfId="556"/>
    <cellStyle name="Moeda 2 3 3 6 3" xfId="857"/>
    <cellStyle name="Moeda 2 3 3 7" xfId="175"/>
    <cellStyle name="Moeda 2 3 3 8" xfId="480"/>
    <cellStyle name="Moeda 2 3 3 9" xfId="781"/>
    <cellStyle name="Moeda 2 3 4" xfId="298"/>
    <cellStyle name="Moeda 2 3 4 2" xfId="599"/>
    <cellStyle name="Moeda 2 3 4 3" xfId="900"/>
    <cellStyle name="Moeda 2 3 5" xfId="346"/>
    <cellStyle name="Moeda 2 3 5 2" xfId="647"/>
    <cellStyle name="Moeda 2 3 5 3" xfId="948"/>
    <cellStyle name="Moeda 2 3 6" xfId="394"/>
    <cellStyle name="Moeda 2 3 6 2" xfId="695"/>
    <cellStyle name="Moeda 2 3 6 3" xfId="996"/>
    <cellStyle name="Moeda 2 3 7" xfId="436"/>
    <cellStyle name="Moeda 2 3 7 2" xfId="737"/>
    <cellStyle name="Moeda 2 3 7 3" xfId="1038"/>
    <cellStyle name="Moeda 2 3 8" xfId="251"/>
    <cellStyle name="Moeda 2 3 8 2" xfId="553"/>
    <cellStyle name="Moeda 2 3 8 3" xfId="854"/>
    <cellStyle name="Moeda 2 3 9" xfId="172"/>
    <cellStyle name="Moeda 3" xfId="52"/>
    <cellStyle name="Moeda 3 10" xfId="205"/>
    <cellStyle name="Moeda 3 10 2" xfId="509"/>
    <cellStyle name="Moeda 3 10 3" xfId="810"/>
    <cellStyle name="Moeda 3 11" xfId="155"/>
    <cellStyle name="Moeda 3 12" xfId="460"/>
    <cellStyle name="Moeda 3 13" xfId="761"/>
    <cellStyle name="Moeda 3 2" xfId="61"/>
    <cellStyle name="Moeda 3 2 10" xfId="158"/>
    <cellStyle name="Moeda 3 2 11" xfId="463"/>
    <cellStyle name="Moeda 3 2 12" xfId="764"/>
    <cellStyle name="Moeda 3 2 2" xfId="70"/>
    <cellStyle name="Moeda 3 2 2 10" xfId="773"/>
    <cellStyle name="Moeda 3 2 2 2" xfId="245"/>
    <cellStyle name="Moeda 3 2 2 2 2" xfId="548"/>
    <cellStyle name="Moeda 3 2 2 2 3" xfId="849"/>
    <cellStyle name="Moeda 3 2 2 3" xfId="293"/>
    <cellStyle name="Moeda 3 2 2 3 2" xfId="594"/>
    <cellStyle name="Moeda 3 2 2 3 3" xfId="895"/>
    <cellStyle name="Moeda 3 2 2 4" xfId="341"/>
    <cellStyle name="Moeda 3 2 2 4 2" xfId="642"/>
    <cellStyle name="Moeda 3 2 2 4 3" xfId="943"/>
    <cellStyle name="Moeda 3 2 2 5" xfId="389"/>
    <cellStyle name="Moeda 3 2 2 5 2" xfId="690"/>
    <cellStyle name="Moeda 3 2 2 5 3" xfId="991"/>
    <cellStyle name="Moeda 3 2 2 6" xfId="431"/>
    <cellStyle name="Moeda 3 2 2 6 2" xfId="732"/>
    <cellStyle name="Moeda 3 2 2 6 3" xfId="1033"/>
    <cellStyle name="Moeda 3 2 2 7" xfId="217"/>
    <cellStyle name="Moeda 3 2 2 7 2" xfId="521"/>
    <cellStyle name="Moeda 3 2 2 7 3" xfId="822"/>
    <cellStyle name="Moeda 3 2 2 8" xfId="167"/>
    <cellStyle name="Moeda 3 2 2 9" xfId="472"/>
    <cellStyle name="Moeda 3 2 3" xfId="236"/>
    <cellStyle name="Moeda 3 2 3 2" xfId="284"/>
    <cellStyle name="Moeda 3 2 3 2 2" xfId="585"/>
    <cellStyle name="Moeda 3 2 3 2 3" xfId="886"/>
    <cellStyle name="Moeda 3 2 3 3" xfId="332"/>
    <cellStyle name="Moeda 3 2 3 3 2" xfId="633"/>
    <cellStyle name="Moeda 3 2 3 3 3" xfId="934"/>
    <cellStyle name="Moeda 3 2 3 4" xfId="380"/>
    <cellStyle name="Moeda 3 2 3 4 2" xfId="681"/>
    <cellStyle name="Moeda 3 2 3 4 3" xfId="982"/>
    <cellStyle name="Moeda 3 2 3 5" xfId="539"/>
    <cellStyle name="Moeda 3 2 3 6" xfId="840"/>
    <cellStyle name="Moeda 3 2 4" xfId="229"/>
    <cellStyle name="Moeda 3 2 4 2" xfId="532"/>
    <cellStyle name="Moeda 3 2 4 3" xfId="833"/>
    <cellStyle name="Moeda 3 2 5" xfId="277"/>
    <cellStyle name="Moeda 3 2 5 2" xfId="578"/>
    <cellStyle name="Moeda 3 2 5 3" xfId="879"/>
    <cellStyle name="Moeda 3 2 6" xfId="325"/>
    <cellStyle name="Moeda 3 2 6 2" xfId="626"/>
    <cellStyle name="Moeda 3 2 6 3" xfId="927"/>
    <cellStyle name="Moeda 3 2 7" xfId="373"/>
    <cellStyle name="Moeda 3 2 7 2" xfId="674"/>
    <cellStyle name="Moeda 3 2 7 3" xfId="975"/>
    <cellStyle name="Moeda 3 2 8" xfId="422"/>
    <cellStyle name="Moeda 3 2 8 2" xfId="723"/>
    <cellStyle name="Moeda 3 2 8 3" xfId="1024"/>
    <cellStyle name="Moeda 3 2 9" xfId="208"/>
    <cellStyle name="Moeda 3 2 9 2" xfId="512"/>
    <cellStyle name="Moeda 3 2 9 3" xfId="813"/>
    <cellStyle name="Moeda 3 3" xfId="67"/>
    <cellStyle name="Moeda 3 3 10" xfId="770"/>
    <cellStyle name="Moeda 3 3 2" xfId="242"/>
    <cellStyle name="Moeda 3 3 2 2" xfId="545"/>
    <cellStyle name="Moeda 3 3 2 3" xfId="846"/>
    <cellStyle name="Moeda 3 3 3" xfId="290"/>
    <cellStyle name="Moeda 3 3 3 2" xfId="591"/>
    <cellStyle name="Moeda 3 3 3 3" xfId="892"/>
    <cellStyle name="Moeda 3 3 4" xfId="338"/>
    <cellStyle name="Moeda 3 3 4 2" xfId="639"/>
    <cellStyle name="Moeda 3 3 4 3" xfId="940"/>
    <cellStyle name="Moeda 3 3 5" xfId="386"/>
    <cellStyle name="Moeda 3 3 5 2" xfId="687"/>
    <cellStyle name="Moeda 3 3 5 3" xfId="988"/>
    <cellStyle name="Moeda 3 3 6" xfId="428"/>
    <cellStyle name="Moeda 3 3 6 2" xfId="729"/>
    <cellStyle name="Moeda 3 3 6 3" xfId="1030"/>
    <cellStyle name="Moeda 3 3 7" xfId="214"/>
    <cellStyle name="Moeda 3 3 7 2" xfId="518"/>
    <cellStyle name="Moeda 3 3 7 3" xfId="819"/>
    <cellStyle name="Moeda 3 3 8" xfId="164"/>
    <cellStyle name="Moeda 3 3 9" xfId="469"/>
    <cellStyle name="Moeda 3 4" xfId="139"/>
    <cellStyle name="Moeda 3 4 2" xfId="317"/>
    <cellStyle name="Moeda 3 4 2 2" xfId="618"/>
    <cellStyle name="Moeda 3 4 2 3" xfId="919"/>
    <cellStyle name="Moeda 3 4 3" xfId="365"/>
    <cellStyle name="Moeda 3 4 3 2" xfId="666"/>
    <cellStyle name="Moeda 3 4 3 3" xfId="967"/>
    <cellStyle name="Moeda 3 4 4" xfId="413"/>
    <cellStyle name="Moeda 3 4 4 2" xfId="714"/>
    <cellStyle name="Moeda 3 4 4 3" xfId="1015"/>
    <cellStyle name="Moeda 3 4 5" xfId="455"/>
    <cellStyle name="Moeda 3 4 5 2" xfId="756"/>
    <cellStyle name="Moeda 3 4 5 3" xfId="1057"/>
    <cellStyle name="Moeda 3 4 6" xfId="223"/>
    <cellStyle name="Moeda 3 4 6 2" xfId="527"/>
    <cellStyle name="Moeda 3 4 6 3" xfId="828"/>
    <cellStyle name="Moeda 3 4 7" xfId="191"/>
    <cellStyle name="Moeda 3 4 8" xfId="496"/>
    <cellStyle name="Moeda 3 4 9" xfId="797"/>
    <cellStyle name="Moeda 3 5" xfId="233"/>
    <cellStyle name="Moeda 3 5 2" xfId="281"/>
    <cellStyle name="Moeda 3 5 2 2" xfId="582"/>
    <cellStyle name="Moeda 3 5 2 3" xfId="883"/>
    <cellStyle name="Moeda 3 5 3" xfId="329"/>
    <cellStyle name="Moeda 3 5 3 2" xfId="630"/>
    <cellStyle name="Moeda 3 5 3 3" xfId="931"/>
    <cellStyle name="Moeda 3 5 4" xfId="377"/>
    <cellStyle name="Moeda 3 5 4 2" xfId="678"/>
    <cellStyle name="Moeda 3 5 4 3" xfId="979"/>
    <cellStyle name="Moeda 3 5 5" xfId="536"/>
    <cellStyle name="Moeda 3 5 6" xfId="837"/>
    <cellStyle name="Moeda 3 6" xfId="272"/>
    <cellStyle name="Moeda 3 6 2" xfId="573"/>
    <cellStyle name="Moeda 3 6 3" xfId="874"/>
    <cellStyle name="Moeda 3 7" xfId="320"/>
    <cellStyle name="Moeda 3 7 2" xfId="621"/>
    <cellStyle name="Moeda 3 7 3" xfId="922"/>
    <cellStyle name="Moeda 3 8" xfId="368"/>
    <cellStyle name="Moeda 3 8 2" xfId="669"/>
    <cellStyle name="Moeda 3 8 3" xfId="970"/>
    <cellStyle name="Moeda 3 9" xfId="419"/>
    <cellStyle name="Moeda 3 9 2" xfId="720"/>
    <cellStyle name="Moeda 3 9 3" xfId="1021"/>
    <cellStyle name="Moeda 4" xfId="65"/>
    <cellStyle name="Moeda 4 10" xfId="162"/>
    <cellStyle name="Moeda 4 11" xfId="467"/>
    <cellStyle name="Moeda 4 12" xfId="768"/>
    <cellStyle name="Moeda 4 2" xfId="74"/>
    <cellStyle name="Moeda 4 2 10" xfId="777"/>
    <cellStyle name="Moeda 4 2 2" xfId="249"/>
    <cellStyle name="Moeda 4 2 2 2" xfId="552"/>
    <cellStyle name="Moeda 4 2 2 3" xfId="853"/>
    <cellStyle name="Moeda 4 2 3" xfId="297"/>
    <cellStyle name="Moeda 4 2 3 2" xfId="598"/>
    <cellStyle name="Moeda 4 2 3 3" xfId="899"/>
    <cellStyle name="Moeda 4 2 4" xfId="345"/>
    <cellStyle name="Moeda 4 2 4 2" xfId="646"/>
    <cellStyle name="Moeda 4 2 4 3" xfId="947"/>
    <cellStyle name="Moeda 4 2 5" xfId="393"/>
    <cellStyle name="Moeda 4 2 5 2" xfId="694"/>
    <cellStyle name="Moeda 4 2 5 3" xfId="995"/>
    <cellStyle name="Moeda 4 2 6" xfId="435"/>
    <cellStyle name="Moeda 4 2 6 2" xfId="736"/>
    <cellStyle name="Moeda 4 2 6 3" xfId="1037"/>
    <cellStyle name="Moeda 4 2 7" xfId="221"/>
    <cellStyle name="Moeda 4 2 7 2" xfId="525"/>
    <cellStyle name="Moeda 4 2 7 3" xfId="826"/>
    <cellStyle name="Moeda 4 2 8" xfId="171"/>
    <cellStyle name="Moeda 4 2 9" xfId="476"/>
    <cellStyle name="Moeda 4 3" xfId="240"/>
    <cellStyle name="Moeda 4 3 2" xfId="288"/>
    <cellStyle name="Moeda 4 3 2 2" xfId="589"/>
    <cellStyle name="Moeda 4 3 2 3" xfId="890"/>
    <cellStyle name="Moeda 4 3 3" xfId="336"/>
    <cellStyle name="Moeda 4 3 3 2" xfId="637"/>
    <cellStyle name="Moeda 4 3 3 3" xfId="938"/>
    <cellStyle name="Moeda 4 3 4" xfId="384"/>
    <cellStyle name="Moeda 4 3 4 2" xfId="685"/>
    <cellStyle name="Moeda 4 3 4 3" xfId="986"/>
    <cellStyle name="Moeda 4 3 5" xfId="543"/>
    <cellStyle name="Moeda 4 3 6" xfId="844"/>
    <cellStyle name="Moeda 4 4" xfId="227"/>
    <cellStyle name="Moeda 4 4 2" xfId="531"/>
    <cellStyle name="Moeda 4 4 3" xfId="832"/>
    <cellStyle name="Moeda 4 5" xfId="276"/>
    <cellStyle name="Moeda 4 5 2" xfId="577"/>
    <cellStyle name="Moeda 4 5 3" xfId="878"/>
    <cellStyle name="Moeda 4 6" xfId="324"/>
    <cellStyle name="Moeda 4 6 2" xfId="625"/>
    <cellStyle name="Moeda 4 6 3" xfId="926"/>
    <cellStyle name="Moeda 4 7" xfId="372"/>
    <cellStyle name="Moeda 4 7 2" xfId="673"/>
    <cellStyle name="Moeda 4 7 3" xfId="974"/>
    <cellStyle name="Moeda 4 8" xfId="426"/>
    <cellStyle name="Moeda 4 8 2" xfId="727"/>
    <cellStyle name="Moeda 4 8 3" xfId="1028"/>
    <cellStyle name="Moeda 4 9" xfId="212"/>
    <cellStyle name="Moeda 4 9 2" xfId="516"/>
    <cellStyle name="Moeda 4 9 3" xfId="817"/>
    <cellStyle name="Moeda 5" xfId="111"/>
    <cellStyle name="Moeda 5 2" xfId="302"/>
    <cellStyle name="Moeda 5 2 2" xfId="603"/>
    <cellStyle name="Moeda 5 2 3" xfId="904"/>
    <cellStyle name="Moeda 5 3" xfId="350"/>
    <cellStyle name="Moeda 5 3 2" xfId="651"/>
    <cellStyle name="Moeda 5 3 3" xfId="952"/>
    <cellStyle name="Moeda 5 4" xfId="398"/>
    <cellStyle name="Moeda 5 4 2" xfId="699"/>
    <cellStyle name="Moeda 5 4 3" xfId="1000"/>
    <cellStyle name="Moeda 5 5" xfId="440"/>
    <cellStyle name="Moeda 5 5 2" xfId="741"/>
    <cellStyle name="Moeda 5 5 3" xfId="1042"/>
    <cellStyle name="Moeda 5 6" xfId="255"/>
    <cellStyle name="Moeda 5 6 2" xfId="557"/>
    <cellStyle name="Moeda 5 6 3" xfId="858"/>
    <cellStyle name="Moeda 5 7" xfId="176"/>
    <cellStyle name="Moeda 5 8" xfId="481"/>
    <cellStyle name="Moeda 5 9" xfId="782"/>
    <cellStyle name="Moeda 6" xfId="148"/>
    <cellStyle name="Moeda 6 2" xfId="417"/>
    <cellStyle name="Moeda 6 2 2" xfId="718"/>
    <cellStyle name="Moeda 6 2 3" xfId="1019"/>
    <cellStyle name="Moeda 6 3" xfId="199"/>
    <cellStyle name="Moeda 6 4" xfId="504"/>
    <cellStyle name="Moeda 6 5" xfId="805"/>
    <cellStyle name="Moeda 7" xfId="152"/>
    <cellStyle name="Moeda 7 2" xfId="202"/>
    <cellStyle name="Moeda 7 3" xfId="507"/>
    <cellStyle name="Moeda 7 4" xfId="808"/>
    <cellStyle name="Neutra" xfId="33" builtinId="28" customBuiltin="1"/>
    <cellStyle name="Neutra 2" xfId="112"/>
    <cellStyle name="Normal" xfId="0" builtinId="0"/>
    <cellStyle name="Normal 10" xfId="146"/>
    <cellStyle name="Normal 10 2" xfId="197"/>
    <cellStyle name="Normal 10 3" xfId="502"/>
    <cellStyle name="Normal 10 4" xfId="803"/>
    <cellStyle name="Normal 11" xfId="150"/>
    <cellStyle name="Normal 11 2" xfId="200"/>
    <cellStyle name="Normal 11 3" xfId="505"/>
    <cellStyle name="Normal 11 4" xfId="806"/>
    <cellStyle name="Normal 2" xfId="48"/>
    <cellStyle name="Normal 2 3" xfId="53"/>
    <cellStyle name="Normal 3" xfId="46"/>
    <cellStyle name="Normal 4" xfId="59"/>
    <cellStyle name="Normal 4 2" xfId="113"/>
    <cellStyle name="Normal 4 2 2" xfId="256"/>
    <cellStyle name="Normal 4 2 3" xfId="278"/>
    <cellStyle name="Normal 4 2 3 2" xfId="579"/>
    <cellStyle name="Normal 4 2 3 3" xfId="880"/>
    <cellStyle name="Normal 4 2 4" xfId="326"/>
    <cellStyle name="Normal 4 2 4 2" xfId="627"/>
    <cellStyle name="Normal 4 2 4 3" xfId="928"/>
    <cellStyle name="Normal 4 2 5" xfId="374"/>
    <cellStyle name="Normal 4 2 5 2" xfId="675"/>
    <cellStyle name="Normal 4 2 5 3" xfId="976"/>
    <cellStyle name="Normal 4 2 6" xfId="230"/>
    <cellStyle name="Normal 4 2 6 2" xfId="533"/>
    <cellStyle name="Normal 4 2 6 3" xfId="834"/>
    <cellStyle name="Normal 4 3" xfId="114"/>
    <cellStyle name="Normal 4 3 10" xfId="783"/>
    <cellStyle name="Normal 4 3 2" xfId="115"/>
    <cellStyle name="Normal 4 3 2 2" xfId="304"/>
    <cellStyle name="Normal 4 3 2 2 2" xfId="605"/>
    <cellStyle name="Normal 4 3 2 2 3" xfId="906"/>
    <cellStyle name="Normal 4 3 2 3" xfId="352"/>
    <cellStyle name="Normal 4 3 2 3 2" xfId="653"/>
    <cellStyle name="Normal 4 3 2 3 3" xfId="954"/>
    <cellStyle name="Normal 4 3 2 4" xfId="400"/>
    <cellStyle name="Normal 4 3 2 4 2" xfId="701"/>
    <cellStyle name="Normal 4 3 2 4 3" xfId="1002"/>
    <cellStyle name="Normal 4 3 2 5" xfId="442"/>
    <cellStyle name="Normal 4 3 2 5 2" xfId="743"/>
    <cellStyle name="Normal 4 3 2 5 3" xfId="1044"/>
    <cellStyle name="Normal 4 3 2 6" xfId="258"/>
    <cellStyle name="Normal 4 3 2 6 2" xfId="559"/>
    <cellStyle name="Normal 4 3 2 6 3" xfId="860"/>
    <cellStyle name="Normal 4 3 2 7" xfId="178"/>
    <cellStyle name="Normal 4 3 2 8" xfId="483"/>
    <cellStyle name="Normal 4 3 2 9" xfId="784"/>
    <cellStyle name="Normal 4 3 3" xfId="303"/>
    <cellStyle name="Normal 4 3 3 2" xfId="604"/>
    <cellStyle name="Normal 4 3 3 3" xfId="905"/>
    <cellStyle name="Normal 4 3 4" xfId="351"/>
    <cellStyle name="Normal 4 3 4 2" xfId="652"/>
    <cellStyle name="Normal 4 3 4 3" xfId="953"/>
    <cellStyle name="Normal 4 3 5" xfId="399"/>
    <cellStyle name="Normal 4 3 5 2" xfId="700"/>
    <cellStyle name="Normal 4 3 5 3" xfId="1001"/>
    <cellStyle name="Normal 4 3 6" xfId="441"/>
    <cellStyle name="Normal 4 3 6 2" xfId="742"/>
    <cellStyle name="Normal 4 3 6 3" xfId="1043"/>
    <cellStyle name="Normal 4 3 7" xfId="257"/>
    <cellStyle name="Normal 4 3 7 2" xfId="558"/>
    <cellStyle name="Normal 4 3 7 3" xfId="859"/>
    <cellStyle name="Normal 4 3 8" xfId="177"/>
    <cellStyle name="Normal 4 3 9" xfId="482"/>
    <cellStyle name="Normal 4 4" xfId="116"/>
    <cellStyle name="Normal 4 4 2" xfId="305"/>
    <cellStyle name="Normal 4 4 2 2" xfId="606"/>
    <cellStyle name="Normal 4 4 2 3" xfId="907"/>
    <cellStyle name="Normal 4 4 3" xfId="353"/>
    <cellStyle name="Normal 4 4 3 2" xfId="654"/>
    <cellStyle name="Normal 4 4 3 3" xfId="955"/>
    <cellStyle name="Normal 4 4 4" xfId="401"/>
    <cellStyle name="Normal 4 4 4 2" xfId="702"/>
    <cellStyle name="Normal 4 4 4 3" xfId="1003"/>
    <cellStyle name="Normal 4 4 5" xfId="443"/>
    <cellStyle name="Normal 4 4 5 2" xfId="744"/>
    <cellStyle name="Normal 4 4 5 3" xfId="1045"/>
    <cellStyle name="Normal 4 4 6" xfId="259"/>
    <cellStyle name="Normal 4 4 6 2" xfId="560"/>
    <cellStyle name="Normal 4 4 6 3" xfId="861"/>
    <cellStyle name="Normal 4 4 7" xfId="179"/>
    <cellStyle name="Normal 4 4 8" xfId="484"/>
    <cellStyle name="Normal 4 4 9" xfId="785"/>
    <cellStyle name="Normal 4 5" xfId="142"/>
    <cellStyle name="Normal 4 5 2" xfId="457"/>
    <cellStyle name="Normal 4 5 2 2" xfId="758"/>
    <cellStyle name="Normal 4 5 2 3" xfId="1059"/>
    <cellStyle name="Normal 4 5 3" xfId="193"/>
    <cellStyle name="Normal 4 5 4" xfId="498"/>
    <cellStyle name="Normal 4 5 5" xfId="799"/>
    <cellStyle name="Normal 5" xfId="50"/>
    <cellStyle name="Normal 5 10" xfId="418"/>
    <cellStyle name="Normal 5 10 2" xfId="719"/>
    <cellStyle name="Normal 5 10 3" xfId="1020"/>
    <cellStyle name="Normal 5 11" xfId="204"/>
    <cellStyle name="Normal 5 11 2" xfId="508"/>
    <cellStyle name="Normal 5 11 3" xfId="809"/>
    <cellStyle name="Normal 5 12" xfId="154"/>
    <cellStyle name="Normal 5 13" xfId="459"/>
    <cellStyle name="Normal 5 14" xfId="760"/>
    <cellStyle name="Normal 5 2" xfId="60"/>
    <cellStyle name="Normal 5 2 2" xfId="69"/>
    <cellStyle name="Normal 5 2 2 10" xfId="772"/>
    <cellStyle name="Normal 5 2 2 2" xfId="244"/>
    <cellStyle name="Normal 5 2 2 2 2" xfId="547"/>
    <cellStyle name="Normal 5 2 2 2 3" xfId="848"/>
    <cellStyle name="Normal 5 2 2 3" xfId="292"/>
    <cellStyle name="Normal 5 2 2 3 2" xfId="593"/>
    <cellStyle name="Normal 5 2 2 3 3" xfId="894"/>
    <cellStyle name="Normal 5 2 2 4" xfId="340"/>
    <cellStyle name="Normal 5 2 2 4 2" xfId="641"/>
    <cellStyle name="Normal 5 2 2 4 3" xfId="942"/>
    <cellStyle name="Normal 5 2 2 5" xfId="388"/>
    <cellStyle name="Normal 5 2 2 5 2" xfId="689"/>
    <cellStyle name="Normal 5 2 2 5 3" xfId="990"/>
    <cellStyle name="Normal 5 2 2 6" xfId="430"/>
    <cellStyle name="Normal 5 2 2 6 2" xfId="731"/>
    <cellStyle name="Normal 5 2 2 6 3" xfId="1032"/>
    <cellStyle name="Normal 5 2 2 7" xfId="216"/>
    <cellStyle name="Normal 5 2 2 7 2" xfId="520"/>
    <cellStyle name="Normal 5 2 2 7 3" xfId="821"/>
    <cellStyle name="Normal 5 2 2 8" xfId="166"/>
    <cellStyle name="Normal 5 2 2 9" xfId="471"/>
    <cellStyle name="Normal 5 2 3" xfId="235"/>
    <cellStyle name="Normal 5 2 3 2" xfId="283"/>
    <cellStyle name="Normal 5 2 3 2 2" xfId="584"/>
    <cellStyle name="Normal 5 2 3 2 3" xfId="885"/>
    <cellStyle name="Normal 5 2 3 3" xfId="331"/>
    <cellStyle name="Normal 5 2 3 3 2" xfId="632"/>
    <cellStyle name="Normal 5 2 3 3 3" xfId="933"/>
    <cellStyle name="Normal 5 2 3 4" xfId="379"/>
    <cellStyle name="Normal 5 2 3 4 2" xfId="680"/>
    <cellStyle name="Normal 5 2 3 4 3" xfId="981"/>
    <cellStyle name="Normal 5 2 3 5" xfId="538"/>
    <cellStyle name="Normal 5 2 3 6" xfId="839"/>
    <cellStyle name="Normal 5 2 4" xfId="228"/>
    <cellStyle name="Normal 5 2 5" xfId="421"/>
    <cellStyle name="Normal 5 2 5 2" xfId="722"/>
    <cellStyle name="Normal 5 2 5 3" xfId="1023"/>
    <cellStyle name="Normal 5 2 6" xfId="207"/>
    <cellStyle name="Normal 5 2 6 2" xfId="511"/>
    <cellStyle name="Normal 5 2 6 3" xfId="812"/>
    <cellStyle name="Normal 5 2 7" xfId="157"/>
    <cellStyle name="Normal 5 2 8" xfId="462"/>
    <cellStyle name="Normal 5 2 9" xfId="763"/>
    <cellStyle name="Normal 5 3" xfId="66"/>
    <cellStyle name="Normal 5 3 10" xfId="769"/>
    <cellStyle name="Normal 5 3 2" xfId="241"/>
    <cellStyle name="Normal 5 3 2 2" xfId="544"/>
    <cellStyle name="Normal 5 3 2 3" xfId="845"/>
    <cellStyle name="Normal 5 3 3" xfId="289"/>
    <cellStyle name="Normal 5 3 3 2" xfId="590"/>
    <cellStyle name="Normal 5 3 3 3" xfId="891"/>
    <cellStyle name="Normal 5 3 4" xfId="337"/>
    <cellStyle name="Normal 5 3 4 2" xfId="638"/>
    <cellStyle name="Normal 5 3 4 3" xfId="939"/>
    <cellStyle name="Normal 5 3 5" xfId="385"/>
    <cellStyle name="Normal 5 3 5 2" xfId="686"/>
    <cellStyle name="Normal 5 3 5 3" xfId="987"/>
    <cellStyle name="Normal 5 3 6" xfId="427"/>
    <cellStyle name="Normal 5 3 6 2" xfId="728"/>
    <cellStyle name="Normal 5 3 6 3" xfId="1029"/>
    <cellStyle name="Normal 5 3 7" xfId="213"/>
    <cellStyle name="Normal 5 3 7 2" xfId="517"/>
    <cellStyle name="Normal 5 3 7 3" xfId="818"/>
    <cellStyle name="Normal 5 3 8" xfId="163"/>
    <cellStyle name="Normal 5 3 9" xfId="468"/>
    <cellStyle name="Normal 5 4" xfId="75"/>
    <cellStyle name="Normal 5 4 2" xfId="250"/>
    <cellStyle name="Normal 5 4 3" xfId="222"/>
    <cellStyle name="Normal 5 4 3 2" xfId="526"/>
    <cellStyle name="Normal 5 4 3 3" xfId="827"/>
    <cellStyle name="Normal 5 5" xfId="138"/>
    <cellStyle name="Normal 5 5 2" xfId="316"/>
    <cellStyle name="Normal 5 5 2 2" xfId="617"/>
    <cellStyle name="Normal 5 5 2 3" xfId="918"/>
    <cellStyle name="Normal 5 5 3" xfId="364"/>
    <cellStyle name="Normal 5 5 3 2" xfId="665"/>
    <cellStyle name="Normal 5 5 3 3" xfId="966"/>
    <cellStyle name="Normal 5 5 4" xfId="412"/>
    <cellStyle name="Normal 5 5 4 2" xfId="713"/>
    <cellStyle name="Normal 5 5 4 3" xfId="1014"/>
    <cellStyle name="Normal 5 5 5" xfId="454"/>
    <cellStyle name="Normal 5 5 5 2" xfId="755"/>
    <cellStyle name="Normal 5 5 5 3" xfId="1056"/>
    <cellStyle name="Normal 5 5 6" xfId="270"/>
    <cellStyle name="Normal 5 5 6 2" xfId="571"/>
    <cellStyle name="Normal 5 5 6 3" xfId="872"/>
    <cellStyle name="Normal 5 5 7" xfId="190"/>
    <cellStyle name="Normal 5 5 8" xfId="495"/>
    <cellStyle name="Normal 5 5 9" xfId="796"/>
    <cellStyle name="Normal 5 6" xfId="232"/>
    <cellStyle name="Normal 5 6 2" xfId="280"/>
    <cellStyle name="Normal 5 6 2 2" xfId="581"/>
    <cellStyle name="Normal 5 6 2 3" xfId="882"/>
    <cellStyle name="Normal 5 6 3" xfId="328"/>
    <cellStyle name="Normal 5 6 3 2" xfId="629"/>
    <cellStyle name="Normal 5 6 3 3" xfId="930"/>
    <cellStyle name="Normal 5 6 4" xfId="376"/>
    <cellStyle name="Normal 5 6 4 2" xfId="677"/>
    <cellStyle name="Normal 5 6 4 3" xfId="978"/>
    <cellStyle name="Normal 5 6 5" xfId="535"/>
    <cellStyle name="Normal 5 6 6" xfId="836"/>
    <cellStyle name="Normal 5 7" xfId="271"/>
    <cellStyle name="Normal 5 7 2" xfId="572"/>
    <cellStyle name="Normal 5 7 3" xfId="873"/>
    <cellStyle name="Normal 5 8" xfId="319"/>
    <cellStyle name="Normal 5 8 2" xfId="620"/>
    <cellStyle name="Normal 5 8 3" xfId="921"/>
    <cellStyle name="Normal 5 9" xfId="367"/>
    <cellStyle name="Normal 5 9 2" xfId="668"/>
    <cellStyle name="Normal 5 9 3" xfId="969"/>
    <cellStyle name="Normal 6" xfId="63"/>
    <cellStyle name="Normal 6 10" xfId="210"/>
    <cellStyle name="Normal 6 10 2" xfId="514"/>
    <cellStyle name="Normal 6 10 3" xfId="815"/>
    <cellStyle name="Normal 6 11" xfId="160"/>
    <cellStyle name="Normal 6 12" xfId="465"/>
    <cellStyle name="Normal 6 13" xfId="766"/>
    <cellStyle name="Normal 6 2" xfId="72"/>
    <cellStyle name="Normal 6 2 10" xfId="474"/>
    <cellStyle name="Normal 6 2 11" xfId="775"/>
    <cellStyle name="Normal 6 2 2" xfId="117"/>
    <cellStyle name="Normal 6 2 2 2" xfId="306"/>
    <cellStyle name="Normal 6 2 2 2 2" xfId="607"/>
    <cellStyle name="Normal 6 2 2 2 3" xfId="908"/>
    <cellStyle name="Normal 6 2 2 3" xfId="354"/>
    <cellStyle name="Normal 6 2 2 3 2" xfId="655"/>
    <cellStyle name="Normal 6 2 2 3 3" xfId="956"/>
    <cellStyle name="Normal 6 2 2 4" xfId="402"/>
    <cellStyle name="Normal 6 2 2 4 2" xfId="703"/>
    <cellStyle name="Normal 6 2 2 4 3" xfId="1004"/>
    <cellStyle name="Normal 6 2 2 5" xfId="444"/>
    <cellStyle name="Normal 6 2 2 5 2" xfId="745"/>
    <cellStyle name="Normal 6 2 2 5 3" xfId="1046"/>
    <cellStyle name="Normal 6 2 2 6" xfId="260"/>
    <cellStyle name="Normal 6 2 2 6 2" xfId="561"/>
    <cellStyle name="Normal 6 2 2 6 3" xfId="862"/>
    <cellStyle name="Normal 6 2 2 7" xfId="180"/>
    <cellStyle name="Normal 6 2 2 8" xfId="485"/>
    <cellStyle name="Normal 6 2 2 9" xfId="786"/>
    <cellStyle name="Normal 6 2 3" xfId="247"/>
    <cellStyle name="Normal 6 2 3 2" xfId="550"/>
    <cellStyle name="Normal 6 2 3 3" xfId="851"/>
    <cellStyle name="Normal 6 2 4" xfId="295"/>
    <cellStyle name="Normal 6 2 4 2" xfId="596"/>
    <cellStyle name="Normal 6 2 4 3" xfId="897"/>
    <cellStyle name="Normal 6 2 5" xfId="343"/>
    <cellStyle name="Normal 6 2 5 2" xfId="644"/>
    <cellStyle name="Normal 6 2 5 3" xfId="945"/>
    <cellStyle name="Normal 6 2 6" xfId="391"/>
    <cellStyle name="Normal 6 2 6 2" xfId="692"/>
    <cellStyle name="Normal 6 2 6 3" xfId="993"/>
    <cellStyle name="Normal 6 2 7" xfId="433"/>
    <cellStyle name="Normal 6 2 7 2" xfId="734"/>
    <cellStyle name="Normal 6 2 7 3" xfId="1035"/>
    <cellStyle name="Normal 6 2 8" xfId="219"/>
    <cellStyle name="Normal 6 2 8 2" xfId="523"/>
    <cellStyle name="Normal 6 2 8 3" xfId="824"/>
    <cellStyle name="Normal 6 2 9" xfId="169"/>
    <cellStyle name="Normal 6 3" xfId="118"/>
    <cellStyle name="Normal 6 3 2" xfId="307"/>
    <cellStyle name="Normal 6 3 2 2" xfId="608"/>
    <cellStyle name="Normal 6 3 2 3" xfId="909"/>
    <cellStyle name="Normal 6 3 3" xfId="355"/>
    <cellStyle name="Normal 6 3 3 2" xfId="656"/>
    <cellStyle name="Normal 6 3 3 3" xfId="957"/>
    <cellStyle name="Normal 6 3 4" xfId="403"/>
    <cellStyle name="Normal 6 3 4 2" xfId="704"/>
    <cellStyle name="Normal 6 3 4 3" xfId="1005"/>
    <cellStyle name="Normal 6 3 5" xfId="445"/>
    <cellStyle name="Normal 6 3 5 2" xfId="746"/>
    <cellStyle name="Normal 6 3 5 3" xfId="1047"/>
    <cellStyle name="Normal 6 3 6" xfId="261"/>
    <cellStyle name="Normal 6 3 6 2" xfId="562"/>
    <cellStyle name="Normal 6 3 6 3" xfId="863"/>
    <cellStyle name="Normal 6 3 7" xfId="181"/>
    <cellStyle name="Normal 6 3 8" xfId="486"/>
    <cellStyle name="Normal 6 3 9" xfId="787"/>
    <cellStyle name="Normal 6 4" xfId="238"/>
    <cellStyle name="Normal 6 4 2" xfId="286"/>
    <cellStyle name="Normal 6 4 2 2" xfId="587"/>
    <cellStyle name="Normal 6 4 2 3" xfId="888"/>
    <cellStyle name="Normal 6 4 3" xfId="334"/>
    <cellStyle name="Normal 6 4 3 2" xfId="635"/>
    <cellStyle name="Normal 6 4 3 3" xfId="936"/>
    <cellStyle name="Normal 6 4 4" xfId="382"/>
    <cellStyle name="Normal 6 4 4 2" xfId="683"/>
    <cellStyle name="Normal 6 4 4 3" xfId="984"/>
    <cellStyle name="Normal 6 4 5" xfId="541"/>
    <cellStyle name="Normal 6 4 6" xfId="842"/>
    <cellStyle name="Normal 6 5" xfId="225"/>
    <cellStyle name="Normal 6 5 2" xfId="529"/>
    <cellStyle name="Normal 6 5 3" xfId="830"/>
    <cellStyle name="Normal 6 6" xfId="274"/>
    <cellStyle name="Normal 6 6 2" xfId="575"/>
    <cellStyle name="Normal 6 6 3" xfId="876"/>
    <cellStyle name="Normal 6 7" xfId="322"/>
    <cellStyle name="Normal 6 7 2" xfId="623"/>
    <cellStyle name="Normal 6 7 3" xfId="924"/>
    <cellStyle name="Normal 6 8" xfId="370"/>
    <cellStyle name="Normal 6 8 2" xfId="671"/>
    <cellStyle name="Normal 6 8 3" xfId="972"/>
    <cellStyle name="Normal 6 9" xfId="424"/>
    <cellStyle name="Normal 6 9 2" xfId="725"/>
    <cellStyle name="Normal 6 9 3" xfId="1026"/>
    <cellStyle name="Normal 7" xfId="119"/>
    <cellStyle name="Normal 7 10" xfId="788"/>
    <cellStyle name="Normal 7 2" xfId="120"/>
    <cellStyle name="Normal 7 2 2" xfId="309"/>
    <cellStyle name="Normal 7 2 2 2" xfId="610"/>
    <cellStyle name="Normal 7 2 2 3" xfId="911"/>
    <cellStyle name="Normal 7 2 3" xfId="357"/>
    <cellStyle name="Normal 7 2 3 2" xfId="658"/>
    <cellStyle name="Normal 7 2 3 3" xfId="959"/>
    <cellStyle name="Normal 7 2 4" xfId="405"/>
    <cellStyle name="Normal 7 2 4 2" xfId="706"/>
    <cellStyle name="Normal 7 2 4 3" xfId="1007"/>
    <cellStyle name="Normal 7 2 5" xfId="447"/>
    <cellStyle name="Normal 7 2 5 2" xfId="748"/>
    <cellStyle name="Normal 7 2 5 3" xfId="1049"/>
    <cellStyle name="Normal 7 2 6" xfId="263"/>
    <cellStyle name="Normal 7 2 6 2" xfId="564"/>
    <cellStyle name="Normal 7 2 6 3" xfId="865"/>
    <cellStyle name="Normal 7 2 7" xfId="183"/>
    <cellStyle name="Normal 7 2 8" xfId="488"/>
    <cellStyle name="Normal 7 2 9" xfId="789"/>
    <cellStyle name="Normal 7 3" xfId="308"/>
    <cellStyle name="Normal 7 3 2" xfId="609"/>
    <cellStyle name="Normal 7 3 3" xfId="910"/>
    <cellStyle name="Normal 7 4" xfId="356"/>
    <cellStyle name="Normal 7 4 2" xfId="657"/>
    <cellStyle name="Normal 7 4 3" xfId="958"/>
    <cellStyle name="Normal 7 5" xfId="404"/>
    <cellStyle name="Normal 7 5 2" xfId="705"/>
    <cellStyle name="Normal 7 5 3" xfId="1006"/>
    <cellStyle name="Normal 7 6" xfId="446"/>
    <cellStyle name="Normal 7 6 2" xfId="747"/>
    <cellStyle name="Normal 7 6 3" xfId="1048"/>
    <cellStyle name="Normal 7 7" xfId="262"/>
    <cellStyle name="Normal 7 7 2" xfId="563"/>
    <cellStyle name="Normal 7 7 3" xfId="864"/>
    <cellStyle name="Normal 7 8" xfId="182"/>
    <cellStyle name="Normal 7 9" xfId="487"/>
    <cellStyle name="Normal 8" xfId="121"/>
    <cellStyle name="Normal 8 2" xfId="310"/>
    <cellStyle name="Normal 8 2 2" xfId="611"/>
    <cellStyle name="Normal 8 2 3" xfId="912"/>
    <cellStyle name="Normal 8 3" xfId="358"/>
    <cellStyle name="Normal 8 3 2" xfId="659"/>
    <cellStyle name="Normal 8 3 3" xfId="960"/>
    <cellStyle name="Normal 8 4" xfId="406"/>
    <cellStyle name="Normal 8 4 2" xfId="707"/>
    <cellStyle name="Normal 8 4 3" xfId="1008"/>
    <cellStyle name="Normal 8 5" xfId="448"/>
    <cellStyle name="Normal 8 5 2" xfId="749"/>
    <cellStyle name="Normal 8 5 3" xfId="1050"/>
    <cellStyle name="Normal 8 6" xfId="264"/>
    <cellStyle name="Normal 8 6 2" xfId="565"/>
    <cellStyle name="Normal 8 6 3" xfId="866"/>
    <cellStyle name="Normal 8 7" xfId="184"/>
    <cellStyle name="Normal 8 8" xfId="489"/>
    <cellStyle name="Normal 8 9" xfId="790"/>
    <cellStyle name="Normal 9" xfId="144"/>
    <cellStyle name="Normal 9 2" xfId="415"/>
    <cellStyle name="Normal 9 2 2" xfId="716"/>
    <cellStyle name="Normal 9 2 3" xfId="1017"/>
    <cellStyle name="Normal 9 3" xfId="195"/>
    <cellStyle name="Normal 9 4" xfId="500"/>
    <cellStyle name="Normal 9 5" xfId="801"/>
    <cellStyle name="Normal_MODELO DE PADROZIZAÇÃO" xfId="141"/>
    <cellStyle name="Normal_Plan1" xfId="47"/>
    <cellStyle name="Normal_PLANILHA" xfId="34"/>
    <cellStyle name="Nota" xfId="35" builtinId="10" customBuiltin="1"/>
    <cellStyle name="Nota 2" xfId="122"/>
    <cellStyle name="Porcentagem" xfId="49" builtinId="5"/>
    <cellStyle name="Porcentagem 2" xfId="54"/>
    <cellStyle name="Saída" xfId="36" builtinId="21" customBuiltin="1"/>
    <cellStyle name="Saída 2" xfId="123"/>
    <cellStyle name="Separador de milhares 2" xfId="149"/>
    <cellStyle name="Separador de milhares 2 2 2 2" xfId="56"/>
    <cellStyle name="Texto de Aviso" xfId="38" builtinId="11" customBuiltin="1"/>
    <cellStyle name="Texto de Aviso 2" xfId="124"/>
    <cellStyle name="Texto Explicativo" xfId="39" builtinId="53" customBuiltin="1"/>
    <cellStyle name="Texto Explicativo 2" xfId="125"/>
    <cellStyle name="Título" xfId="40" builtinId="15" customBuiltin="1"/>
    <cellStyle name="Título 1" xfId="41" builtinId="16" customBuiltin="1"/>
    <cellStyle name="Título 1 2" xfId="126"/>
    <cellStyle name="Título 2" xfId="42" builtinId="17" customBuiltin="1"/>
    <cellStyle name="Título 2 2" xfId="127"/>
    <cellStyle name="Título 3" xfId="43" builtinId="18" customBuiltin="1"/>
    <cellStyle name="Título 3 2" xfId="128"/>
    <cellStyle name="Título 4" xfId="44" builtinId="19" customBuiltin="1"/>
    <cellStyle name="Título 4 2" xfId="129"/>
    <cellStyle name="Título 5" xfId="130"/>
    <cellStyle name="Total" xfId="45" builtinId="25" customBuiltin="1"/>
    <cellStyle name="Total 2" xfId="131"/>
    <cellStyle name="Vírgula" xfId="37" builtinId="3"/>
    <cellStyle name="Vírgula 10" xfId="203"/>
    <cellStyle name="Vírgula 2" xfId="57"/>
    <cellStyle name="Vírgula 2 2" xfId="132"/>
    <cellStyle name="Vírgula 2 3" xfId="133"/>
    <cellStyle name="Vírgula 2 3 10" xfId="490"/>
    <cellStyle name="Vírgula 2 3 11" xfId="791"/>
    <cellStyle name="Vírgula 2 3 2" xfId="134"/>
    <cellStyle name="Vírgula 2 3 2 10" xfId="792"/>
    <cellStyle name="Vírgula 2 3 2 2" xfId="135"/>
    <cellStyle name="Vírgula 2 3 2 2 2" xfId="313"/>
    <cellStyle name="Vírgula 2 3 2 2 2 2" xfId="614"/>
    <cellStyle name="Vírgula 2 3 2 2 2 3" xfId="915"/>
    <cellStyle name="Vírgula 2 3 2 2 3" xfId="361"/>
    <cellStyle name="Vírgula 2 3 2 2 3 2" xfId="662"/>
    <cellStyle name="Vírgula 2 3 2 2 3 3" xfId="963"/>
    <cellStyle name="Vírgula 2 3 2 2 4" xfId="409"/>
    <cellStyle name="Vírgula 2 3 2 2 4 2" xfId="710"/>
    <cellStyle name="Vírgula 2 3 2 2 4 3" xfId="1011"/>
    <cellStyle name="Vírgula 2 3 2 2 5" xfId="451"/>
    <cellStyle name="Vírgula 2 3 2 2 5 2" xfId="752"/>
    <cellStyle name="Vírgula 2 3 2 2 5 3" xfId="1053"/>
    <cellStyle name="Vírgula 2 3 2 2 6" xfId="267"/>
    <cellStyle name="Vírgula 2 3 2 2 6 2" xfId="568"/>
    <cellStyle name="Vírgula 2 3 2 2 6 3" xfId="869"/>
    <cellStyle name="Vírgula 2 3 2 2 7" xfId="187"/>
    <cellStyle name="Vírgula 2 3 2 2 8" xfId="492"/>
    <cellStyle name="Vírgula 2 3 2 2 9" xfId="793"/>
    <cellStyle name="Vírgula 2 3 2 3" xfId="312"/>
    <cellStyle name="Vírgula 2 3 2 3 2" xfId="613"/>
    <cellStyle name="Vírgula 2 3 2 3 3" xfId="914"/>
    <cellStyle name="Vírgula 2 3 2 4" xfId="360"/>
    <cellStyle name="Vírgula 2 3 2 4 2" xfId="661"/>
    <cellStyle name="Vírgula 2 3 2 4 3" xfId="962"/>
    <cellStyle name="Vírgula 2 3 2 5" xfId="408"/>
    <cellStyle name="Vírgula 2 3 2 5 2" xfId="709"/>
    <cellStyle name="Vírgula 2 3 2 5 3" xfId="1010"/>
    <cellStyle name="Vírgula 2 3 2 6" xfId="450"/>
    <cellStyle name="Vírgula 2 3 2 6 2" xfId="751"/>
    <cellStyle name="Vírgula 2 3 2 6 3" xfId="1052"/>
    <cellStyle name="Vírgula 2 3 2 7" xfId="266"/>
    <cellStyle name="Vírgula 2 3 2 7 2" xfId="567"/>
    <cellStyle name="Vírgula 2 3 2 7 3" xfId="868"/>
    <cellStyle name="Vírgula 2 3 2 8" xfId="186"/>
    <cellStyle name="Vírgula 2 3 2 9" xfId="491"/>
    <cellStyle name="Vírgula 2 3 3" xfId="136"/>
    <cellStyle name="Vírgula 2 3 3 2" xfId="314"/>
    <cellStyle name="Vírgula 2 3 3 2 2" xfId="615"/>
    <cellStyle name="Vírgula 2 3 3 2 3" xfId="916"/>
    <cellStyle name="Vírgula 2 3 3 3" xfId="362"/>
    <cellStyle name="Vírgula 2 3 3 3 2" xfId="663"/>
    <cellStyle name="Vírgula 2 3 3 3 3" xfId="964"/>
    <cellStyle name="Vírgula 2 3 3 4" xfId="410"/>
    <cellStyle name="Vírgula 2 3 3 4 2" xfId="711"/>
    <cellStyle name="Vírgula 2 3 3 4 3" xfId="1012"/>
    <cellStyle name="Vírgula 2 3 3 5" xfId="452"/>
    <cellStyle name="Vírgula 2 3 3 5 2" xfId="753"/>
    <cellStyle name="Vírgula 2 3 3 5 3" xfId="1054"/>
    <cellStyle name="Vírgula 2 3 3 6" xfId="268"/>
    <cellStyle name="Vírgula 2 3 3 6 2" xfId="569"/>
    <cellStyle name="Vírgula 2 3 3 6 3" xfId="870"/>
    <cellStyle name="Vírgula 2 3 3 7" xfId="188"/>
    <cellStyle name="Vírgula 2 3 3 8" xfId="493"/>
    <cellStyle name="Vírgula 2 3 3 9" xfId="794"/>
    <cellStyle name="Vírgula 2 3 4" xfId="311"/>
    <cellStyle name="Vírgula 2 3 4 2" xfId="612"/>
    <cellStyle name="Vírgula 2 3 4 3" xfId="913"/>
    <cellStyle name="Vírgula 2 3 5" xfId="359"/>
    <cellStyle name="Vírgula 2 3 5 2" xfId="660"/>
    <cellStyle name="Vírgula 2 3 5 3" xfId="961"/>
    <cellStyle name="Vírgula 2 3 6" xfId="407"/>
    <cellStyle name="Vírgula 2 3 6 2" xfId="708"/>
    <cellStyle name="Vírgula 2 3 6 3" xfId="1009"/>
    <cellStyle name="Vírgula 2 3 7" xfId="449"/>
    <cellStyle name="Vírgula 2 3 7 2" xfId="750"/>
    <cellStyle name="Vírgula 2 3 7 3" xfId="1051"/>
    <cellStyle name="Vírgula 2 3 8" xfId="265"/>
    <cellStyle name="Vírgula 2 3 8 2" xfId="566"/>
    <cellStyle name="Vírgula 2 3 8 3" xfId="867"/>
    <cellStyle name="Vírgula 2 3 9" xfId="185"/>
    <cellStyle name="Vírgula 2 4" xfId="143"/>
    <cellStyle name="Vírgula 2 4 2" xfId="458"/>
    <cellStyle name="Vírgula 2 4 2 2" xfId="759"/>
    <cellStyle name="Vírgula 2 4 2 3" xfId="1060"/>
    <cellStyle name="Vírgula 2 4 3" xfId="194"/>
    <cellStyle name="Vírgula 2 4 4" xfId="499"/>
    <cellStyle name="Vírgula 2 4 5" xfId="800"/>
    <cellStyle name="Vírgula 3" xfId="55"/>
    <cellStyle name="Vírgula 3 10" xfId="206"/>
    <cellStyle name="Vírgula 3 10 2" xfId="510"/>
    <cellStyle name="Vírgula 3 10 3" xfId="811"/>
    <cellStyle name="Vírgula 3 11" xfId="156"/>
    <cellStyle name="Vírgula 3 12" xfId="461"/>
    <cellStyle name="Vírgula 3 13" xfId="762"/>
    <cellStyle name="Vírgula 3 2" xfId="62"/>
    <cellStyle name="Vírgula 3 2 10" xfId="159"/>
    <cellStyle name="Vírgula 3 2 11" xfId="464"/>
    <cellStyle name="Vírgula 3 2 12" xfId="765"/>
    <cellStyle name="Vírgula 3 2 2" xfId="71"/>
    <cellStyle name="Vírgula 3 2 2 10" xfId="774"/>
    <cellStyle name="Vírgula 3 2 2 2" xfId="246"/>
    <cellStyle name="Vírgula 3 2 2 2 2" xfId="549"/>
    <cellStyle name="Vírgula 3 2 2 2 3" xfId="850"/>
    <cellStyle name="Vírgula 3 2 2 3" xfId="294"/>
    <cellStyle name="Vírgula 3 2 2 3 2" xfId="595"/>
    <cellStyle name="Vírgula 3 2 2 3 3" xfId="896"/>
    <cellStyle name="Vírgula 3 2 2 4" xfId="342"/>
    <cellStyle name="Vírgula 3 2 2 4 2" xfId="643"/>
    <cellStyle name="Vírgula 3 2 2 4 3" xfId="944"/>
    <cellStyle name="Vírgula 3 2 2 5" xfId="390"/>
    <cellStyle name="Vírgula 3 2 2 5 2" xfId="691"/>
    <cellStyle name="Vírgula 3 2 2 5 3" xfId="992"/>
    <cellStyle name="Vírgula 3 2 2 6" xfId="432"/>
    <cellStyle name="Vírgula 3 2 2 6 2" xfId="733"/>
    <cellStyle name="Vírgula 3 2 2 6 3" xfId="1034"/>
    <cellStyle name="Vírgula 3 2 2 7" xfId="218"/>
    <cellStyle name="Vírgula 3 2 2 7 2" xfId="522"/>
    <cellStyle name="Vírgula 3 2 2 7 3" xfId="823"/>
    <cellStyle name="Vírgula 3 2 2 8" xfId="168"/>
    <cellStyle name="Vírgula 3 2 2 9" xfId="473"/>
    <cellStyle name="Vírgula 3 2 3" xfId="237"/>
    <cellStyle name="Vírgula 3 2 3 2" xfId="285"/>
    <cellStyle name="Vírgula 3 2 3 2 2" xfId="586"/>
    <cellStyle name="Vírgula 3 2 3 2 3" xfId="887"/>
    <cellStyle name="Vírgula 3 2 3 3" xfId="333"/>
    <cellStyle name="Vírgula 3 2 3 3 2" xfId="634"/>
    <cellStyle name="Vírgula 3 2 3 3 3" xfId="935"/>
    <cellStyle name="Vírgula 3 2 3 4" xfId="381"/>
    <cellStyle name="Vírgula 3 2 3 4 2" xfId="682"/>
    <cellStyle name="Vírgula 3 2 3 4 3" xfId="983"/>
    <cellStyle name="Vírgula 3 2 3 5" xfId="540"/>
    <cellStyle name="Vírgula 3 2 3 6" xfId="841"/>
    <cellStyle name="Vírgula 3 2 4" xfId="231"/>
    <cellStyle name="Vírgula 3 2 4 2" xfId="534"/>
    <cellStyle name="Vírgula 3 2 4 3" xfId="835"/>
    <cellStyle name="Vírgula 3 2 5" xfId="279"/>
    <cellStyle name="Vírgula 3 2 5 2" xfId="580"/>
    <cellStyle name="Vírgula 3 2 5 3" xfId="881"/>
    <cellStyle name="Vírgula 3 2 6" xfId="327"/>
    <cellStyle name="Vírgula 3 2 6 2" xfId="628"/>
    <cellStyle name="Vírgula 3 2 6 3" xfId="929"/>
    <cellStyle name="Vírgula 3 2 7" xfId="375"/>
    <cellStyle name="Vírgula 3 2 7 2" xfId="676"/>
    <cellStyle name="Vírgula 3 2 7 3" xfId="977"/>
    <cellStyle name="Vírgula 3 2 8" xfId="423"/>
    <cellStyle name="Vírgula 3 2 8 2" xfId="724"/>
    <cellStyle name="Vírgula 3 2 8 3" xfId="1025"/>
    <cellStyle name="Vírgula 3 2 9" xfId="209"/>
    <cellStyle name="Vírgula 3 2 9 2" xfId="513"/>
    <cellStyle name="Vírgula 3 2 9 3" xfId="814"/>
    <cellStyle name="Vírgula 3 3" xfId="68"/>
    <cellStyle name="Vírgula 3 3 10" xfId="771"/>
    <cellStyle name="Vírgula 3 3 2" xfId="243"/>
    <cellStyle name="Vírgula 3 3 2 2" xfId="546"/>
    <cellStyle name="Vírgula 3 3 2 3" xfId="847"/>
    <cellStyle name="Vírgula 3 3 3" xfId="291"/>
    <cellStyle name="Vírgula 3 3 3 2" xfId="592"/>
    <cellStyle name="Vírgula 3 3 3 3" xfId="893"/>
    <cellStyle name="Vírgula 3 3 4" xfId="339"/>
    <cellStyle name="Vírgula 3 3 4 2" xfId="640"/>
    <cellStyle name="Vírgula 3 3 4 3" xfId="941"/>
    <cellStyle name="Vírgula 3 3 5" xfId="387"/>
    <cellStyle name="Vírgula 3 3 5 2" xfId="688"/>
    <cellStyle name="Vírgula 3 3 5 3" xfId="989"/>
    <cellStyle name="Vírgula 3 3 6" xfId="429"/>
    <cellStyle name="Vírgula 3 3 6 2" xfId="730"/>
    <cellStyle name="Vírgula 3 3 6 3" xfId="1031"/>
    <cellStyle name="Vírgula 3 3 7" xfId="215"/>
    <cellStyle name="Vírgula 3 3 7 2" xfId="519"/>
    <cellStyle name="Vírgula 3 3 7 3" xfId="820"/>
    <cellStyle name="Vírgula 3 3 8" xfId="165"/>
    <cellStyle name="Vírgula 3 3 9" xfId="470"/>
    <cellStyle name="Vírgula 3 4" xfId="140"/>
    <cellStyle name="Vírgula 3 4 2" xfId="318"/>
    <cellStyle name="Vírgula 3 4 2 2" xfId="619"/>
    <cellStyle name="Vírgula 3 4 2 3" xfId="920"/>
    <cellStyle name="Vírgula 3 4 3" xfId="366"/>
    <cellStyle name="Vírgula 3 4 3 2" xfId="667"/>
    <cellStyle name="Vírgula 3 4 3 3" xfId="968"/>
    <cellStyle name="Vírgula 3 4 4" xfId="414"/>
    <cellStyle name="Vírgula 3 4 4 2" xfId="715"/>
    <cellStyle name="Vírgula 3 4 4 3" xfId="1016"/>
    <cellStyle name="Vírgula 3 4 5" xfId="456"/>
    <cellStyle name="Vírgula 3 4 5 2" xfId="757"/>
    <cellStyle name="Vírgula 3 4 5 3" xfId="1058"/>
    <cellStyle name="Vírgula 3 4 6" xfId="224"/>
    <cellStyle name="Vírgula 3 4 6 2" xfId="528"/>
    <cellStyle name="Vírgula 3 4 6 3" xfId="829"/>
    <cellStyle name="Vírgula 3 4 7" xfId="192"/>
    <cellStyle name="Vírgula 3 4 8" xfId="497"/>
    <cellStyle name="Vírgula 3 4 9" xfId="798"/>
    <cellStyle name="Vírgula 3 5" xfId="234"/>
    <cellStyle name="Vírgula 3 5 2" xfId="282"/>
    <cellStyle name="Vírgula 3 5 2 2" xfId="583"/>
    <cellStyle name="Vírgula 3 5 2 3" xfId="884"/>
    <cellStyle name="Vírgula 3 5 3" xfId="330"/>
    <cellStyle name="Vírgula 3 5 3 2" xfId="631"/>
    <cellStyle name="Vírgula 3 5 3 3" xfId="932"/>
    <cellStyle name="Vírgula 3 5 4" xfId="378"/>
    <cellStyle name="Vírgula 3 5 4 2" xfId="679"/>
    <cellStyle name="Vírgula 3 5 4 3" xfId="980"/>
    <cellStyle name="Vírgula 3 5 5" xfId="537"/>
    <cellStyle name="Vírgula 3 5 6" xfId="838"/>
    <cellStyle name="Vírgula 3 6" xfId="273"/>
    <cellStyle name="Vírgula 3 6 2" xfId="574"/>
    <cellStyle name="Vírgula 3 6 3" xfId="875"/>
    <cellStyle name="Vírgula 3 7" xfId="321"/>
    <cellStyle name="Vírgula 3 7 2" xfId="622"/>
    <cellStyle name="Vírgula 3 7 3" xfId="923"/>
    <cellStyle name="Vírgula 3 8" xfId="369"/>
    <cellStyle name="Vírgula 3 8 2" xfId="670"/>
    <cellStyle name="Vírgula 3 8 3" xfId="971"/>
    <cellStyle name="Vírgula 3 9" xfId="420"/>
    <cellStyle name="Vírgula 3 9 2" xfId="721"/>
    <cellStyle name="Vírgula 3 9 3" xfId="1022"/>
    <cellStyle name="Vírgula 4" xfId="64"/>
    <cellStyle name="Vírgula 4 10" xfId="161"/>
    <cellStyle name="Vírgula 4 11" xfId="466"/>
    <cellStyle name="Vírgula 4 12" xfId="767"/>
    <cellStyle name="Vírgula 4 2" xfId="73"/>
    <cellStyle name="Vírgula 4 2 10" xfId="776"/>
    <cellStyle name="Vírgula 4 2 2" xfId="248"/>
    <cellStyle name="Vírgula 4 2 2 2" xfId="551"/>
    <cellStyle name="Vírgula 4 2 2 3" xfId="852"/>
    <cellStyle name="Vírgula 4 2 3" xfId="296"/>
    <cellStyle name="Vírgula 4 2 3 2" xfId="597"/>
    <cellStyle name="Vírgula 4 2 3 3" xfId="898"/>
    <cellStyle name="Vírgula 4 2 4" xfId="344"/>
    <cellStyle name="Vírgula 4 2 4 2" xfId="645"/>
    <cellStyle name="Vírgula 4 2 4 3" xfId="946"/>
    <cellStyle name="Vírgula 4 2 5" xfId="392"/>
    <cellStyle name="Vírgula 4 2 5 2" xfId="693"/>
    <cellStyle name="Vírgula 4 2 5 3" xfId="994"/>
    <cellStyle name="Vírgula 4 2 6" xfId="434"/>
    <cellStyle name="Vírgula 4 2 6 2" xfId="735"/>
    <cellStyle name="Vírgula 4 2 6 3" xfId="1036"/>
    <cellStyle name="Vírgula 4 2 7" xfId="220"/>
    <cellStyle name="Vírgula 4 2 7 2" xfId="524"/>
    <cellStyle name="Vírgula 4 2 7 3" xfId="825"/>
    <cellStyle name="Vírgula 4 2 8" xfId="170"/>
    <cellStyle name="Vírgula 4 2 9" xfId="475"/>
    <cellStyle name="Vírgula 4 3" xfId="239"/>
    <cellStyle name="Vírgula 4 3 2" xfId="287"/>
    <cellStyle name="Vírgula 4 3 2 2" xfId="588"/>
    <cellStyle name="Vírgula 4 3 2 3" xfId="889"/>
    <cellStyle name="Vírgula 4 3 3" xfId="335"/>
    <cellStyle name="Vírgula 4 3 3 2" xfId="636"/>
    <cellStyle name="Vírgula 4 3 3 3" xfId="937"/>
    <cellStyle name="Vírgula 4 3 4" xfId="383"/>
    <cellStyle name="Vírgula 4 3 4 2" xfId="684"/>
    <cellStyle name="Vírgula 4 3 4 3" xfId="985"/>
    <cellStyle name="Vírgula 4 3 5" xfId="542"/>
    <cellStyle name="Vírgula 4 3 6" xfId="843"/>
    <cellStyle name="Vírgula 4 4" xfId="226"/>
    <cellStyle name="Vírgula 4 4 2" xfId="530"/>
    <cellStyle name="Vírgula 4 4 3" xfId="831"/>
    <cellStyle name="Vírgula 4 5" xfId="275"/>
    <cellStyle name="Vírgula 4 5 2" xfId="576"/>
    <cellStyle name="Vírgula 4 5 3" xfId="877"/>
    <cellStyle name="Vírgula 4 6" xfId="323"/>
    <cellStyle name="Vírgula 4 6 2" xfId="624"/>
    <cellStyle name="Vírgula 4 6 3" xfId="925"/>
    <cellStyle name="Vírgula 4 7" xfId="371"/>
    <cellStyle name="Vírgula 4 7 2" xfId="672"/>
    <cellStyle name="Vírgula 4 7 3" xfId="973"/>
    <cellStyle name="Vírgula 4 8" xfId="425"/>
    <cellStyle name="Vírgula 4 8 2" xfId="726"/>
    <cellStyle name="Vírgula 4 8 3" xfId="1027"/>
    <cellStyle name="Vírgula 4 9" xfId="211"/>
    <cellStyle name="Vírgula 4 9 2" xfId="515"/>
    <cellStyle name="Vírgula 4 9 3" xfId="816"/>
    <cellStyle name="Vírgula 5" xfId="137"/>
    <cellStyle name="Vírgula 5 2" xfId="315"/>
    <cellStyle name="Vírgula 5 2 2" xfId="616"/>
    <cellStyle name="Vírgula 5 2 3" xfId="917"/>
    <cellStyle name="Vírgula 5 3" xfId="363"/>
    <cellStyle name="Vírgula 5 3 2" xfId="664"/>
    <cellStyle name="Vírgula 5 3 3" xfId="965"/>
    <cellStyle name="Vírgula 5 4" xfId="411"/>
    <cellStyle name="Vírgula 5 4 2" xfId="712"/>
    <cellStyle name="Vírgula 5 4 3" xfId="1013"/>
    <cellStyle name="Vírgula 5 5" xfId="453"/>
    <cellStyle name="Vírgula 5 5 2" xfId="754"/>
    <cellStyle name="Vírgula 5 5 3" xfId="1055"/>
    <cellStyle name="Vírgula 5 6" xfId="269"/>
    <cellStyle name="Vírgula 5 6 2" xfId="570"/>
    <cellStyle name="Vírgula 5 6 3" xfId="871"/>
    <cellStyle name="Vírgula 5 7" xfId="189"/>
    <cellStyle name="Vírgula 5 8" xfId="494"/>
    <cellStyle name="Vírgula 5 9" xfId="795"/>
    <cellStyle name="Vírgula 6" xfId="145"/>
    <cellStyle name="Vírgula 6 2" xfId="416"/>
    <cellStyle name="Vírgula 6 2 2" xfId="717"/>
    <cellStyle name="Vírgula 6 2 3" xfId="1018"/>
    <cellStyle name="Vírgula 6 3" xfId="196"/>
    <cellStyle name="Vírgula 6 4" xfId="501"/>
    <cellStyle name="Vírgula 6 5" xfId="802"/>
    <cellStyle name="Vírgula 7" xfId="147"/>
    <cellStyle name="Vírgula 7 2" xfId="198"/>
    <cellStyle name="Vírgula 7 3" xfId="503"/>
    <cellStyle name="Vírgula 7 4" xfId="804"/>
    <cellStyle name="Vírgula 8" xfId="151"/>
    <cellStyle name="Vírgula 8 2" xfId="201"/>
    <cellStyle name="Vírgula 8 3" xfId="506"/>
    <cellStyle name="Vírgula 8 4" xfId="807"/>
    <cellStyle name="Vírgula 9" xfId="153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1361700</xdr:colOff>
      <xdr:row>3</xdr:row>
      <xdr:rowOff>97799</xdr:rowOff>
    </xdr:to>
    <xdr:pic>
      <xdr:nvPicPr>
        <xdr:cNvPr id="3" name="Imagem 2" descr="Logo-0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400" cy="58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1437900</xdr:colOff>
      <xdr:row>3</xdr:row>
      <xdr:rowOff>69224</xdr:rowOff>
    </xdr:to>
    <xdr:pic>
      <xdr:nvPicPr>
        <xdr:cNvPr id="4" name="Imagem 3" descr="Logo-0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400" cy="58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1428375</xdr:colOff>
      <xdr:row>3</xdr:row>
      <xdr:rowOff>97799</xdr:rowOff>
    </xdr:to>
    <xdr:pic>
      <xdr:nvPicPr>
        <xdr:cNvPr id="3" name="Imagem 2" descr="Logo-0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400" cy="58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656</xdr:colOff>
      <xdr:row>6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4381499" cy="1057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377132</xdr:colOff>
      <xdr:row>0</xdr:row>
      <xdr:rowOff>144458</xdr:rowOff>
    </xdr:from>
    <xdr:to>
      <xdr:col>4</xdr:col>
      <xdr:colOff>2047954</xdr:colOff>
      <xdr:row>5</xdr:row>
      <xdr:rowOff>22411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32" y="144458"/>
          <a:ext cx="6372810" cy="6175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163508</xdr:rowOff>
    </xdr:from>
    <xdr:to>
      <xdr:col>5</xdr:col>
      <xdr:colOff>285750</xdr:colOff>
      <xdr:row>1</xdr:row>
      <xdr:rowOff>857250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325433"/>
          <a:ext cx="4191000" cy="6937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anilhas%20Gin&#225;sio\13-08-14%20-%20COMPOSI&#199;&#195;O%20E%20PLANILHA%20OR&#199;AMENTARIA%20%20COARI%20vers&#227;o%20julho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TO-PC\Construmais\CONST.%20MONTEBELENSE\luis%20paulo-%20or&#231;amentista\Complexo%20Esportivo\Or&#231;amento\Or&#231;amento%20Quadra%20COARI\OR&#199;AMENTO%20GINASIO%20FINAL%2010-08-12%20COA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Físico-Financeiro"/>
      <sheetName val="PLANILHA ORÇAMENTARIA"/>
      <sheetName val="COMPOSIÇÕES"/>
      <sheetName val="Insumos"/>
      <sheetName val="M.CALCULO"/>
      <sheetName val="FUNDAÇAO"/>
      <sheetName val="MOV. TERRA"/>
      <sheetName val="ALVENARIA"/>
      <sheetName val="PISO"/>
      <sheetName val="FORRO"/>
      <sheetName val="ESTRUTURA"/>
      <sheetName val="ESCAVAÇÃO"/>
      <sheetName val="TRANSPORTE"/>
      <sheetName val="PROF. TERCEIRIZADOS"/>
      <sheetName val="BDI DIFERENCIADO"/>
      <sheetName val="IMPLANTAÇÃO"/>
    </sheetNames>
    <sheetDataSet>
      <sheetData sheetId="0"/>
      <sheetData sheetId="1">
        <row r="25">
          <cell r="B25" t="str">
            <v>LOCAÇÃO DA OBRA, COM USO DE EQUIPAMENTOS TOPOGRÁFICOS, INCLUSIVE TOPOGRAFO E NIVELADOR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 RESUMO"/>
      <sheetName val="PLAN. ORÇ"/>
      <sheetName val="cronograma"/>
      <sheetName val="M.CALCULO"/>
      <sheetName val="COMPOSIÇÕES"/>
      <sheetName val="BDI DIFERENCIADO"/>
      <sheetName val="ALVENARIA"/>
      <sheetName val="ESCAVAÇÃO"/>
      <sheetName val="PISO"/>
      <sheetName val="FORRO"/>
      <sheetName val="ESTRUTURA"/>
      <sheetName val="FUNDAÇAO"/>
    </sheetNames>
    <sheetDataSet>
      <sheetData sheetId="0"/>
      <sheetData sheetId="1">
        <row r="13">
          <cell r="G13">
            <v>3988.43</v>
          </cell>
        </row>
      </sheetData>
      <sheetData sheetId="2"/>
      <sheetData sheetId="3">
        <row r="14">
          <cell r="D14">
            <v>1</v>
          </cell>
        </row>
        <row r="17">
          <cell r="D17">
            <v>392.69</v>
          </cell>
        </row>
        <row r="18">
          <cell r="D18">
            <v>120</v>
          </cell>
        </row>
        <row r="140">
          <cell r="D140">
            <v>40</v>
          </cell>
        </row>
        <row r="371">
          <cell r="D371">
            <v>1</v>
          </cell>
        </row>
        <row r="372">
          <cell r="D372">
            <v>1</v>
          </cell>
        </row>
        <row r="373">
          <cell r="D373">
            <v>1</v>
          </cell>
        </row>
      </sheetData>
      <sheetData sheetId="4">
        <row r="141">
          <cell r="I141">
            <v>10.156689999999999</v>
          </cell>
        </row>
        <row r="149">
          <cell r="I149">
            <v>120</v>
          </cell>
        </row>
        <row r="1027">
          <cell r="I1027">
            <v>24500</v>
          </cell>
        </row>
        <row r="1045">
          <cell r="I1045">
            <v>35</v>
          </cell>
        </row>
        <row r="3114">
          <cell r="I3114">
            <v>2998</v>
          </cell>
        </row>
        <row r="3122">
          <cell r="I3122">
            <v>1659.16</v>
          </cell>
        </row>
        <row r="3130">
          <cell r="I3130">
            <v>379.24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150"/>
  <sheetViews>
    <sheetView tabSelected="1" topLeftCell="A2" zoomScaleNormal="100" workbookViewId="0">
      <selection activeCell="AG7" sqref="AG7:AO7"/>
    </sheetView>
  </sheetViews>
  <sheetFormatPr defaultColWidth="11.5703125" defaultRowHeight="12.75"/>
  <cols>
    <col min="1" max="1" width="9.7109375" style="365" customWidth="1"/>
    <col min="2" max="2" width="40.7109375" style="380" customWidth="1"/>
    <col min="3" max="3" width="9.7109375" style="381" hidden="1" customWidth="1"/>
    <col min="4" max="4" width="12.7109375" style="382" customWidth="1"/>
    <col min="5" max="5" width="7.5703125" style="383" customWidth="1"/>
    <col min="6" max="41" width="2.28515625" style="365" customWidth="1"/>
    <col min="42" max="42" width="13.28515625" style="515" bestFit="1" customWidth="1"/>
    <col min="43" max="202" width="11.5703125" style="365"/>
    <col min="203" max="203" width="9.7109375" style="365" customWidth="1"/>
    <col min="204" max="204" width="40.7109375" style="365" customWidth="1"/>
    <col min="205" max="205" width="0" style="365" hidden="1" customWidth="1"/>
    <col min="206" max="206" width="12.7109375" style="365" customWidth="1"/>
    <col min="207" max="207" width="7.5703125" style="365" customWidth="1"/>
    <col min="208" max="291" width="2.28515625" style="365" customWidth="1"/>
    <col min="292" max="292" width="12.140625" style="365" bestFit="1" customWidth="1"/>
    <col min="293" max="294" width="11.5703125" style="365"/>
    <col min="295" max="295" width="15" style="365" customWidth="1"/>
    <col min="296" max="458" width="11.5703125" style="365"/>
    <col min="459" max="459" width="9.7109375" style="365" customWidth="1"/>
    <col min="460" max="460" width="40.7109375" style="365" customWidth="1"/>
    <col min="461" max="461" width="0" style="365" hidden="1" customWidth="1"/>
    <col min="462" max="462" width="12.7109375" style="365" customWidth="1"/>
    <col min="463" max="463" width="7.5703125" style="365" customWidth="1"/>
    <col min="464" max="547" width="2.28515625" style="365" customWidth="1"/>
    <col min="548" max="548" width="12.140625" style="365" bestFit="1" customWidth="1"/>
    <col min="549" max="550" width="11.5703125" style="365"/>
    <col min="551" max="551" width="15" style="365" customWidth="1"/>
    <col min="552" max="714" width="11.5703125" style="365"/>
    <col min="715" max="715" width="9.7109375" style="365" customWidth="1"/>
    <col min="716" max="716" width="40.7109375" style="365" customWidth="1"/>
    <col min="717" max="717" width="0" style="365" hidden="1" customWidth="1"/>
    <col min="718" max="718" width="12.7109375" style="365" customWidth="1"/>
    <col min="719" max="719" width="7.5703125" style="365" customWidth="1"/>
    <col min="720" max="803" width="2.28515625" style="365" customWidth="1"/>
    <col min="804" max="804" width="12.140625" style="365" bestFit="1" customWidth="1"/>
    <col min="805" max="806" width="11.5703125" style="365"/>
    <col min="807" max="807" width="15" style="365" customWidth="1"/>
    <col min="808" max="970" width="11.5703125" style="365"/>
    <col min="971" max="971" width="9.7109375" style="365" customWidth="1"/>
    <col min="972" max="972" width="40.7109375" style="365" customWidth="1"/>
    <col min="973" max="973" width="0" style="365" hidden="1" customWidth="1"/>
    <col min="974" max="974" width="12.7109375" style="365" customWidth="1"/>
    <col min="975" max="975" width="7.5703125" style="365" customWidth="1"/>
    <col min="976" max="1059" width="2.28515625" style="365" customWidth="1"/>
    <col min="1060" max="1060" width="12.140625" style="365" bestFit="1" customWidth="1"/>
    <col min="1061" max="1062" width="11.5703125" style="365"/>
    <col min="1063" max="1063" width="15" style="365" customWidth="1"/>
    <col min="1064" max="1226" width="11.5703125" style="365"/>
    <col min="1227" max="1227" width="9.7109375" style="365" customWidth="1"/>
    <col min="1228" max="1228" width="40.7109375" style="365" customWidth="1"/>
    <col min="1229" max="1229" width="0" style="365" hidden="1" customWidth="1"/>
    <col min="1230" max="1230" width="12.7109375" style="365" customWidth="1"/>
    <col min="1231" max="1231" width="7.5703125" style="365" customWidth="1"/>
    <col min="1232" max="1315" width="2.28515625" style="365" customWidth="1"/>
    <col min="1316" max="1316" width="12.140625" style="365" bestFit="1" customWidth="1"/>
    <col min="1317" max="1318" width="11.5703125" style="365"/>
    <col min="1319" max="1319" width="15" style="365" customWidth="1"/>
    <col min="1320" max="1482" width="11.5703125" style="365"/>
    <col min="1483" max="1483" width="9.7109375" style="365" customWidth="1"/>
    <col min="1484" max="1484" width="40.7109375" style="365" customWidth="1"/>
    <col min="1485" max="1485" width="0" style="365" hidden="1" customWidth="1"/>
    <col min="1486" max="1486" width="12.7109375" style="365" customWidth="1"/>
    <col min="1487" max="1487" width="7.5703125" style="365" customWidth="1"/>
    <col min="1488" max="1571" width="2.28515625" style="365" customWidth="1"/>
    <col min="1572" max="1572" width="12.140625" style="365" bestFit="1" customWidth="1"/>
    <col min="1573" max="1574" width="11.5703125" style="365"/>
    <col min="1575" max="1575" width="15" style="365" customWidth="1"/>
    <col min="1576" max="1738" width="11.5703125" style="365"/>
    <col min="1739" max="1739" width="9.7109375" style="365" customWidth="1"/>
    <col min="1740" max="1740" width="40.7109375" style="365" customWidth="1"/>
    <col min="1741" max="1741" width="0" style="365" hidden="1" customWidth="1"/>
    <col min="1742" max="1742" width="12.7109375" style="365" customWidth="1"/>
    <col min="1743" max="1743" width="7.5703125" style="365" customWidth="1"/>
    <col min="1744" max="1827" width="2.28515625" style="365" customWidth="1"/>
    <col min="1828" max="1828" width="12.140625" style="365" bestFit="1" customWidth="1"/>
    <col min="1829" max="1830" width="11.5703125" style="365"/>
    <col min="1831" max="1831" width="15" style="365" customWidth="1"/>
    <col min="1832" max="1994" width="11.5703125" style="365"/>
    <col min="1995" max="1995" width="9.7109375" style="365" customWidth="1"/>
    <col min="1996" max="1996" width="40.7109375" style="365" customWidth="1"/>
    <col min="1997" max="1997" width="0" style="365" hidden="1" customWidth="1"/>
    <col min="1998" max="1998" width="12.7109375" style="365" customWidth="1"/>
    <col min="1999" max="1999" width="7.5703125" style="365" customWidth="1"/>
    <col min="2000" max="2083" width="2.28515625" style="365" customWidth="1"/>
    <col min="2084" max="2084" width="12.140625" style="365" bestFit="1" customWidth="1"/>
    <col min="2085" max="2086" width="11.5703125" style="365"/>
    <col min="2087" max="2087" width="15" style="365" customWidth="1"/>
    <col min="2088" max="2250" width="11.5703125" style="365"/>
    <col min="2251" max="2251" width="9.7109375" style="365" customWidth="1"/>
    <col min="2252" max="2252" width="40.7109375" style="365" customWidth="1"/>
    <col min="2253" max="2253" width="0" style="365" hidden="1" customWidth="1"/>
    <col min="2254" max="2254" width="12.7109375" style="365" customWidth="1"/>
    <col min="2255" max="2255" width="7.5703125" style="365" customWidth="1"/>
    <col min="2256" max="2339" width="2.28515625" style="365" customWidth="1"/>
    <col min="2340" max="2340" width="12.140625" style="365" bestFit="1" customWidth="1"/>
    <col min="2341" max="2342" width="11.5703125" style="365"/>
    <col min="2343" max="2343" width="15" style="365" customWidth="1"/>
    <col min="2344" max="2506" width="11.5703125" style="365"/>
    <col min="2507" max="2507" width="9.7109375" style="365" customWidth="1"/>
    <col min="2508" max="2508" width="40.7109375" style="365" customWidth="1"/>
    <col min="2509" max="2509" width="0" style="365" hidden="1" customWidth="1"/>
    <col min="2510" max="2510" width="12.7109375" style="365" customWidth="1"/>
    <col min="2511" max="2511" width="7.5703125" style="365" customWidth="1"/>
    <col min="2512" max="2595" width="2.28515625" style="365" customWidth="1"/>
    <col min="2596" max="2596" width="12.140625" style="365" bestFit="1" customWidth="1"/>
    <col min="2597" max="2598" width="11.5703125" style="365"/>
    <col min="2599" max="2599" width="15" style="365" customWidth="1"/>
    <col min="2600" max="2762" width="11.5703125" style="365"/>
    <col min="2763" max="2763" width="9.7109375" style="365" customWidth="1"/>
    <col min="2764" max="2764" width="40.7109375" style="365" customWidth="1"/>
    <col min="2765" max="2765" width="0" style="365" hidden="1" customWidth="1"/>
    <col min="2766" max="2766" width="12.7109375" style="365" customWidth="1"/>
    <col min="2767" max="2767" width="7.5703125" style="365" customWidth="1"/>
    <col min="2768" max="2851" width="2.28515625" style="365" customWidth="1"/>
    <col min="2852" max="2852" width="12.140625" style="365" bestFit="1" customWidth="1"/>
    <col min="2853" max="2854" width="11.5703125" style="365"/>
    <col min="2855" max="2855" width="15" style="365" customWidth="1"/>
    <col min="2856" max="3018" width="11.5703125" style="365"/>
    <col min="3019" max="3019" width="9.7109375" style="365" customWidth="1"/>
    <col min="3020" max="3020" width="40.7109375" style="365" customWidth="1"/>
    <col min="3021" max="3021" width="0" style="365" hidden="1" customWidth="1"/>
    <col min="3022" max="3022" width="12.7109375" style="365" customWidth="1"/>
    <col min="3023" max="3023" width="7.5703125" style="365" customWidth="1"/>
    <col min="3024" max="3107" width="2.28515625" style="365" customWidth="1"/>
    <col min="3108" max="3108" width="12.140625" style="365" bestFit="1" customWidth="1"/>
    <col min="3109" max="3110" width="11.5703125" style="365"/>
    <col min="3111" max="3111" width="15" style="365" customWidth="1"/>
    <col min="3112" max="3274" width="11.5703125" style="365"/>
    <col min="3275" max="3275" width="9.7109375" style="365" customWidth="1"/>
    <col min="3276" max="3276" width="40.7109375" style="365" customWidth="1"/>
    <col min="3277" max="3277" width="0" style="365" hidden="1" customWidth="1"/>
    <col min="3278" max="3278" width="12.7109375" style="365" customWidth="1"/>
    <col min="3279" max="3279" width="7.5703125" style="365" customWidth="1"/>
    <col min="3280" max="3363" width="2.28515625" style="365" customWidth="1"/>
    <col min="3364" max="3364" width="12.140625" style="365" bestFit="1" customWidth="1"/>
    <col min="3365" max="3366" width="11.5703125" style="365"/>
    <col min="3367" max="3367" width="15" style="365" customWidth="1"/>
    <col min="3368" max="3530" width="11.5703125" style="365"/>
    <col min="3531" max="3531" width="9.7109375" style="365" customWidth="1"/>
    <col min="3532" max="3532" width="40.7109375" style="365" customWidth="1"/>
    <col min="3533" max="3533" width="0" style="365" hidden="1" customWidth="1"/>
    <col min="3534" max="3534" width="12.7109375" style="365" customWidth="1"/>
    <col min="3535" max="3535" width="7.5703125" style="365" customWidth="1"/>
    <col min="3536" max="3619" width="2.28515625" style="365" customWidth="1"/>
    <col min="3620" max="3620" width="12.140625" style="365" bestFit="1" customWidth="1"/>
    <col min="3621" max="3622" width="11.5703125" style="365"/>
    <col min="3623" max="3623" width="15" style="365" customWidth="1"/>
    <col min="3624" max="3786" width="11.5703125" style="365"/>
    <col min="3787" max="3787" width="9.7109375" style="365" customWidth="1"/>
    <col min="3788" max="3788" width="40.7109375" style="365" customWidth="1"/>
    <col min="3789" max="3789" width="0" style="365" hidden="1" customWidth="1"/>
    <col min="3790" max="3790" width="12.7109375" style="365" customWidth="1"/>
    <col min="3791" max="3791" width="7.5703125" style="365" customWidth="1"/>
    <col min="3792" max="3875" width="2.28515625" style="365" customWidth="1"/>
    <col min="3876" max="3876" width="12.140625" style="365" bestFit="1" customWidth="1"/>
    <col min="3877" max="3878" width="11.5703125" style="365"/>
    <col min="3879" max="3879" width="15" style="365" customWidth="1"/>
    <col min="3880" max="4042" width="11.5703125" style="365"/>
    <col min="4043" max="4043" width="9.7109375" style="365" customWidth="1"/>
    <col min="4044" max="4044" width="40.7109375" style="365" customWidth="1"/>
    <col min="4045" max="4045" width="0" style="365" hidden="1" customWidth="1"/>
    <col min="4046" max="4046" width="12.7109375" style="365" customWidth="1"/>
    <col min="4047" max="4047" width="7.5703125" style="365" customWidth="1"/>
    <col min="4048" max="4131" width="2.28515625" style="365" customWidth="1"/>
    <col min="4132" max="4132" width="12.140625" style="365" bestFit="1" customWidth="1"/>
    <col min="4133" max="4134" width="11.5703125" style="365"/>
    <col min="4135" max="4135" width="15" style="365" customWidth="1"/>
    <col min="4136" max="4298" width="11.5703125" style="365"/>
    <col min="4299" max="4299" width="9.7109375" style="365" customWidth="1"/>
    <col min="4300" max="4300" width="40.7109375" style="365" customWidth="1"/>
    <col min="4301" max="4301" width="0" style="365" hidden="1" customWidth="1"/>
    <col min="4302" max="4302" width="12.7109375" style="365" customWidth="1"/>
    <col min="4303" max="4303" width="7.5703125" style="365" customWidth="1"/>
    <col min="4304" max="4387" width="2.28515625" style="365" customWidth="1"/>
    <col min="4388" max="4388" width="12.140625" style="365" bestFit="1" customWidth="1"/>
    <col min="4389" max="4390" width="11.5703125" style="365"/>
    <col min="4391" max="4391" width="15" style="365" customWidth="1"/>
    <col min="4392" max="4554" width="11.5703125" style="365"/>
    <col min="4555" max="4555" width="9.7109375" style="365" customWidth="1"/>
    <col min="4556" max="4556" width="40.7109375" style="365" customWidth="1"/>
    <col min="4557" max="4557" width="0" style="365" hidden="1" customWidth="1"/>
    <col min="4558" max="4558" width="12.7109375" style="365" customWidth="1"/>
    <col min="4559" max="4559" width="7.5703125" style="365" customWidth="1"/>
    <col min="4560" max="4643" width="2.28515625" style="365" customWidth="1"/>
    <col min="4644" max="4644" width="12.140625" style="365" bestFit="1" customWidth="1"/>
    <col min="4645" max="4646" width="11.5703125" style="365"/>
    <col min="4647" max="4647" width="15" style="365" customWidth="1"/>
    <col min="4648" max="4810" width="11.5703125" style="365"/>
    <col min="4811" max="4811" width="9.7109375" style="365" customWidth="1"/>
    <col min="4812" max="4812" width="40.7109375" style="365" customWidth="1"/>
    <col min="4813" max="4813" width="0" style="365" hidden="1" customWidth="1"/>
    <col min="4814" max="4814" width="12.7109375" style="365" customWidth="1"/>
    <col min="4815" max="4815" width="7.5703125" style="365" customWidth="1"/>
    <col min="4816" max="4899" width="2.28515625" style="365" customWidth="1"/>
    <col min="4900" max="4900" width="12.140625" style="365" bestFit="1" customWidth="1"/>
    <col min="4901" max="4902" width="11.5703125" style="365"/>
    <col min="4903" max="4903" width="15" style="365" customWidth="1"/>
    <col min="4904" max="5066" width="11.5703125" style="365"/>
    <col min="5067" max="5067" width="9.7109375" style="365" customWidth="1"/>
    <col min="5068" max="5068" width="40.7109375" style="365" customWidth="1"/>
    <col min="5069" max="5069" width="0" style="365" hidden="1" customWidth="1"/>
    <col min="5070" max="5070" width="12.7109375" style="365" customWidth="1"/>
    <col min="5071" max="5071" width="7.5703125" style="365" customWidth="1"/>
    <col min="5072" max="5155" width="2.28515625" style="365" customWidth="1"/>
    <col min="5156" max="5156" width="12.140625" style="365" bestFit="1" customWidth="1"/>
    <col min="5157" max="5158" width="11.5703125" style="365"/>
    <col min="5159" max="5159" width="15" style="365" customWidth="1"/>
    <col min="5160" max="5322" width="11.5703125" style="365"/>
    <col min="5323" max="5323" width="9.7109375" style="365" customWidth="1"/>
    <col min="5324" max="5324" width="40.7109375" style="365" customWidth="1"/>
    <col min="5325" max="5325" width="0" style="365" hidden="1" customWidth="1"/>
    <col min="5326" max="5326" width="12.7109375" style="365" customWidth="1"/>
    <col min="5327" max="5327" width="7.5703125" style="365" customWidth="1"/>
    <col min="5328" max="5411" width="2.28515625" style="365" customWidth="1"/>
    <col min="5412" max="5412" width="12.140625" style="365" bestFit="1" customWidth="1"/>
    <col min="5413" max="5414" width="11.5703125" style="365"/>
    <col min="5415" max="5415" width="15" style="365" customWidth="1"/>
    <col min="5416" max="5578" width="11.5703125" style="365"/>
    <col min="5579" max="5579" width="9.7109375" style="365" customWidth="1"/>
    <col min="5580" max="5580" width="40.7109375" style="365" customWidth="1"/>
    <col min="5581" max="5581" width="0" style="365" hidden="1" customWidth="1"/>
    <col min="5582" max="5582" width="12.7109375" style="365" customWidth="1"/>
    <col min="5583" max="5583" width="7.5703125" style="365" customWidth="1"/>
    <col min="5584" max="5667" width="2.28515625" style="365" customWidth="1"/>
    <col min="5668" max="5668" width="12.140625" style="365" bestFit="1" customWidth="1"/>
    <col min="5669" max="5670" width="11.5703125" style="365"/>
    <col min="5671" max="5671" width="15" style="365" customWidth="1"/>
    <col min="5672" max="5834" width="11.5703125" style="365"/>
    <col min="5835" max="5835" width="9.7109375" style="365" customWidth="1"/>
    <col min="5836" max="5836" width="40.7109375" style="365" customWidth="1"/>
    <col min="5837" max="5837" width="0" style="365" hidden="1" customWidth="1"/>
    <col min="5838" max="5838" width="12.7109375" style="365" customWidth="1"/>
    <col min="5839" max="5839" width="7.5703125" style="365" customWidth="1"/>
    <col min="5840" max="5923" width="2.28515625" style="365" customWidth="1"/>
    <col min="5924" max="5924" width="12.140625" style="365" bestFit="1" customWidth="1"/>
    <col min="5925" max="5926" width="11.5703125" style="365"/>
    <col min="5927" max="5927" width="15" style="365" customWidth="1"/>
    <col min="5928" max="6090" width="11.5703125" style="365"/>
    <col min="6091" max="6091" width="9.7109375" style="365" customWidth="1"/>
    <col min="6092" max="6092" width="40.7109375" style="365" customWidth="1"/>
    <col min="6093" max="6093" width="0" style="365" hidden="1" customWidth="1"/>
    <col min="6094" max="6094" width="12.7109375" style="365" customWidth="1"/>
    <col min="6095" max="6095" width="7.5703125" style="365" customWidth="1"/>
    <col min="6096" max="6179" width="2.28515625" style="365" customWidth="1"/>
    <col min="6180" max="6180" width="12.140625" style="365" bestFit="1" customWidth="1"/>
    <col min="6181" max="6182" width="11.5703125" style="365"/>
    <col min="6183" max="6183" width="15" style="365" customWidth="1"/>
    <col min="6184" max="6346" width="11.5703125" style="365"/>
    <col min="6347" max="6347" width="9.7109375" style="365" customWidth="1"/>
    <col min="6348" max="6348" width="40.7109375" style="365" customWidth="1"/>
    <col min="6349" max="6349" width="0" style="365" hidden="1" customWidth="1"/>
    <col min="6350" max="6350" width="12.7109375" style="365" customWidth="1"/>
    <col min="6351" max="6351" width="7.5703125" style="365" customWidth="1"/>
    <col min="6352" max="6435" width="2.28515625" style="365" customWidth="1"/>
    <col min="6436" max="6436" width="12.140625" style="365" bestFit="1" customWidth="1"/>
    <col min="6437" max="6438" width="11.5703125" style="365"/>
    <col min="6439" max="6439" width="15" style="365" customWidth="1"/>
    <col min="6440" max="6602" width="11.5703125" style="365"/>
    <col min="6603" max="6603" width="9.7109375" style="365" customWidth="1"/>
    <col min="6604" max="6604" width="40.7109375" style="365" customWidth="1"/>
    <col min="6605" max="6605" width="0" style="365" hidden="1" customWidth="1"/>
    <col min="6606" max="6606" width="12.7109375" style="365" customWidth="1"/>
    <col min="6607" max="6607" width="7.5703125" style="365" customWidth="1"/>
    <col min="6608" max="6691" width="2.28515625" style="365" customWidth="1"/>
    <col min="6692" max="6692" width="12.140625" style="365" bestFit="1" customWidth="1"/>
    <col min="6693" max="6694" width="11.5703125" style="365"/>
    <col min="6695" max="6695" width="15" style="365" customWidth="1"/>
    <col min="6696" max="6858" width="11.5703125" style="365"/>
    <col min="6859" max="6859" width="9.7109375" style="365" customWidth="1"/>
    <col min="6860" max="6860" width="40.7109375" style="365" customWidth="1"/>
    <col min="6861" max="6861" width="0" style="365" hidden="1" customWidth="1"/>
    <col min="6862" max="6862" width="12.7109375" style="365" customWidth="1"/>
    <col min="6863" max="6863" width="7.5703125" style="365" customWidth="1"/>
    <col min="6864" max="6947" width="2.28515625" style="365" customWidth="1"/>
    <col min="6948" max="6948" width="12.140625" style="365" bestFit="1" customWidth="1"/>
    <col min="6949" max="6950" width="11.5703125" style="365"/>
    <col min="6951" max="6951" width="15" style="365" customWidth="1"/>
    <col min="6952" max="7114" width="11.5703125" style="365"/>
    <col min="7115" max="7115" width="9.7109375" style="365" customWidth="1"/>
    <col min="7116" max="7116" width="40.7109375" style="365" customWidth="1"/>
    <col min="7117" max="7117" width="0" style="365" hidden="1" customWidth="1"/>
    <col min="7118" max="7118" width="12.7109375" style="365" customWidth="1"/>
    <col min="7119" max="7119" width="7.5703125" style="365" customWidth="1"/>
    <col min="7120" max="7203" width="2.28515625" style="365" customWidth="1"/>
    <col min="7204" max="7204" width="12.140625" style="365" bestFit="1" customWidth="1"/>
    <col min="7205" max="7206" width="11.5703125" style="365"/>
    <col min="7207" max="7207" width="15" style="365" customWidth="1"/>
    <col min="7208" max="7370" width="11.5703125" style="365"/>
    <col min="7371" max="7371" width="9.7109375" style="365" customWidth="1"/>
    <col min="7372" max="7372" width="40.7109375" style="365" customWidth="1"/>
    <col min="7373" max="7373" width="0" style="365" hidden="1" customWidth="1"/>
    <col min="7374" max="7374" width="12.7109375" style="365" customWidth="1"/>
    <col min="7375" max="7375" width="7.5703125" style="365" customWidth="1"/>
    <col min="7376" max="7459" width="2.28515625" style="365" customWidth="1"/>
    <col min="7460" max="7460" width="12.140625" style="365" bestFit="1" customWidth="1"/>
    <col min="7461" max="7462" width="11.5703125" style="365"/>
    <col min="7463" max="7463" width="15" style="365" customWidth="1"/>
    <col min="7464" max="7626" width="11.5703125" style="365"/>
    <col min="7627" max="7627" width="9.7109375" style="365" customWidth="1"/>
    <col min="7628" max="7628" width="40.7109375" style="365" customWidth="1"/>
    <col min="7629" max="7629" width="0" style="365" hidden="1" customWidth="1"/>
    <col min="7630" max="7630" width="12.7109375" style="365" customWidth="1"/>
    <col min="7631" max="7631" width="7.5703125" style="365" customWidth="1"/>
    <col min="7632" max="7715" width="2.28515625" style="365" customWidth="1"/>
    <col min="7716" max="7716" width="12.140625" style="365" bestFit="1" customWidth="1"/>
    <col min="7717" max="7718" width="11.5703125" style="365"/>
    <col min="7719" max="7719" width="15" style="365" customWidth="1"/>
    <col min="7720" max="7882" width="11.5703125" style="365"/>
    <col min="7883" max="7883" width="9.7109375" style="365" customWidth="1"/>
    <col min="7884" max="7884" width="40.7109375" style="365" customWidth="1"/>
    <col min="7885" max="7885" width="0" style="365" hidden="1" customWidth="1"/>
    <col min="7886" max="7886" width="12.7109375" style="365" customWidth="1"/>
    <col min="7887" max="7887" width="7.5703125" style="365" customWidth="1"/>
    <col min="7888" max="7971" width="2.28515625" style="365" customWidth="1"/>
    <col min="7972" max="7972" width="12.140625" style="365" bestFit="1" customWidth="1"/>
    <col min="7973" max="7974" width="11.5703125" style="365"/>
    <col min="7975" max="7975" width="15" style="365" customWidth="1"/>
    <col min="7976" max="8138" width="11.5703125" style="365"/>
    <col min="8139" max="8139" width="9.7109375" style="365" customWidth="1"/>
    <col min="8140" max="8140" width="40.7109375" style="365" customWidth="1"/>
    <col min="8141" max="8141" width="0" style="365" hidden="1" customWidth="1"/>
    <col min="8142" max="8142" width="12.7109375" style="365" customWidth="1"/>
    <col min="8143" max="8143" width="7.5703125" style="365" customWidth="1"/>
    <col min="8144" max="8227" width="2.28515625" style="365" customWidth="1"/>
    <col min="8228" max="8228" width="12.140625" style="365" bestFit="1" customWidth="1"/>
    <col min="8229" max="8230" width="11.5703125" style="365"/>
    <col min="8231" max="8231" width="15" style="365" customWidth="1"/>
    <col min="8232" max="8394" width="11.5703125" style="365"/>
    <col min="8395" max="8395" width="9.7109375" style="365" customWidth="1"/>
    <col min="8396" max="8396" width="40.7109375" style="365" customWidth="1"/>
    <col min="8397" max="8397" width="0" style="365" hidden="1" customWidth="1"/>
    <col min="8398" max="8398" width="12.7109375" style="365" customWidth="1"/>
    <col min="8399" max="8399" width="7.5703125" style="365" customWidth="1"/>
    <col min="8400" max="8483" width="2.28515625" style="365" customWidth="1"/>
    <col min="8484" max="8484" width="12.140625" style="365" bestFit="1" customWidth="1"/>
    <col min="8485" max="8486" width="11.5703125" style="365"/>
    <col min="8487" max="8487" width="15" style="365" customWidth="1"/>
    <col min="8488" max="8650" width="11.5703125" style="365"/>
    <col min="8651" max="8651" width="9.7109375" style="365" customWidth="1"/>
    <col min="8652" max="8652" width="40.7109375" style="365" customWidth="1"/>
    <col min="8653" max="8653" width="0" style="365" hidden="1" customWidth="1"/>
    <col min="8654" max="8654" width="12.7109375" style="365" customWidth="1"/>
    <col min="8655" max="8655" width="7.5703125" style="365" customWidth="1"/>
    <col min="8656" max="8739" width="2.28515625" style="365" customWidth="1"/>
    <col min="8740" max="8740" width="12.140625" style="365" bestFit="1" customWidth="1"/>
    <col min="8741" max="8742" width="11.5703125" style="365"/>
    <col min="8743" max="8743" width="15" style="365" customWidth="1"/>
    <col min="8744" max="8906" width="11.5703125" style="365"/>
    <col min="8907" max="8907" width="9.7109375" style="365" customWidth="1"/>
    <col min="8908" max="8908" width="40.7109375" style="365" customWidth="1"/>
    <col min="8909" max="8909" width="0" style="365" hidden="1" customWidth="1"/>
    <col min="8910" max="8910" width="12.7109375" style="365" customWidth="1"/>
    <col min="8911" max="8911" width="7.5703125" style="365" customWidth="1"/>
    <col min="8912" max="8995" width="2.28515625" style="365" customWidth="1"/>
    <col min="8996" max="8996" width="12.140625" style="365" bestFit="1" customWidth="1"/>
    <col min="8997" max="8998" width="11.5703125" style="365"/>
    <col min="8999" max="8999" width="15" style="365" customWidth="1"/>
    <col min="9000" max="9162" width="11.5703125" style="365"/>
    <col min="9163" max="9163" width="9.7109375" style="365" customWidth="1"/>
    <col min="9164" max="9164" width="40.7109375" style="365" customWidth="1"/>
    <col min="9165" max="9165" width="0" style="365" hidden="1" customWidth="1"/>
    <col min="9166" max="9166" width="12.7109375" style="365" customWidth="1"/>
    <col min="9167" max="9167" width="7.5703125" style="365" customWidth="1"/>
    <col min="9168" max="9251" width="2.28515625" style="365" customWidth="1"/>
    <col min="9252" max="9252" width="12.140625" style="365" bestFit="1" customWidth="1"/>
    <col min="9253" max="9254" width="11.5703125" style="365"/>
    <col min="9255" max="9255" width="15" style="365" customWidth="1"/>
    <col min="9256" max="9418" width="11.5703125" style="365"/>
    <col min="9419" max="9419" width="9.7109375" style="365" customWidth="1"/>
    <col min="9420" max="9420" width="40.7109375" style="365" customWidth="1"/>
    <col min="9421" max="9421" width="0" style="365" hidden="1" customWidth="1"/>
    <col min="9422" max="9422" width="12.7109375" style="365" customWidth="1"/>
    <col min="9423" max="9423" width="7.5703125" style="365" customWidth="1"/>
    <col min="9424" max="9507" width="2.28515625" style="365" customWidth="1"/>
    <col min="9508" max="9508" width="12.140625" style="365" bestFit="1" customWidth="1"/>
    <col min="9509" max="9510" width="11.5703125" style="365"/>
    <col min="9511" max="9511" width="15" style="365" customWidth="1"/>
    <col min="9512" max="9674" width="11.5703125" style="365"/>
    <col min="9675" max="9675" width="9.7109375" style="365" customWidth="1"/>
    <col min="9676" max="9676" width="40.7109375" style="365" customWidth="1"/>
    <col min="9677" max="9677" width="0" style="365" hidden="1" customWidth="1"/>
    <col min="9678" max="9678" width="12.7109375" style="365" customWidth="1"/>
    <col min="9679" max="9679" width="7.5703125" style="365" customWidth="1"/>
    <col min="9680" max="9763" width="2.28515625" style="365" customWidth="1"/>
    <col min="9764" max="9764" width="12.140625" style="365" bestFit="1" customWidth="1"/>
    <col min="9765" max="9766" width="11.5703125" style="365"/>
    <col min="9767" max="9767" width="15" style="365" customWidth="1"/>
    <col min="9768" max="9930" width="11.5703125" style="365"/>
    <col min="9931" max="9931" width="9.7109375" style="365" customWidth="1"/>
    <col min="9932" max="9932" width="40.7109375" style="365" customWidth="1"/>
    <col min="9933" max="9933" width="0" style="365" hidden="1" customWidth="1"/>
    <col min="9934" max="9934" width="12.7109375" style="365" customWidth="1"/>
    <col min="9935" max="9935" width="7.5703125" style="365" customWidth="1"/>
    <col min="9936" max="10019" width="2.28515625" style="365" customWidth="1"/>
    <col min="10020" max="10020" width="12.140625" style="365" bestFit="1" customWidth="1"/>
    <col min="10021" max="10022" width="11.5703125" style="365"/>
    <col min="10023" max="10023" width="15" style="365" customWidth="1"/>
    <col min="10024" max="10186" width="11.5703125" style="365"/>
    <col min="10187" max="10187" width="9.7109375" style="365" customWidth="1"/>
    <col min="10188" max="10188" width="40.7109375" style="365" customWidth="1"/>
    <col min="10189" max="10189" width="0" style="365" hidden="1" customWidth="1"/>
    <col min="10190" max="10190" width="12.7109375" style="365" customWidth="1"/>
    <col min="10191" max="10191" width="7.5703125" style="365" customWidth="1"/>
    <col min="10192" max="10275" width="2.28515625" style="365" customWidth="1"/>
    <col min="10276" max="10276" width="12.140625" style="365" bestFit="1" customWidth="1"/>
    <col min="10277" max="10278" width="11.5703125" style="365"/>
    <col min="10279" max="10279" width="15" style="365" customWidth="1"/>
    <col min="10280" max="10442" width="11.5703125" style="365"/>
    <col min="10443" max="10443" width="9.7109375" style="365" customWidth="1"/>
    <col min="10444" max="10444" width="40.7109375" style="365" customWidth="1"/>
    <col min="10445" max="10445" width="0" style="365" hidden="1" customWidth="1"/>
    <col min="10446" max="10446" width="12.7109375" style="365" customWidth="1"/>
    <col min="10447" max="10447" width="7.5703125" style="365" customWidth="1"/>
    <col min="10448" max="10531" width="2.28515625" style="365" customWidth="1"/>
    <col min="10532" max="10532" width="12.140625" style="365" bestFit="1" customWidth="1"/>
    <col min="10533" max="10534" width="11.5703125" style="365"/>
    <col min="10535" max="10535" width="15" style="365" customWidth="1"/>
    <col min="10536" max="10698" width="11.5703125" style="365"/>
    <col min="10699" max="10699" width="9.7109375" style="365" customWidth="1"/>
    <col min="10700" max="10700" width="40.7109375" style="365" customWidth="1"/>
    <col min="10701" max="10701" width="0" style="365" hidden="1" customWidth="1"/>
    <col min="10702" max="10702" width="12.7109375" style="365" customWidth="1"/>
    <col min="10703" max="10703" width="7.5703125" style="365" customWidth="1"/>
    <col min="10704" max="10787" width="2.28515625" style="365" customWidth="1"/>
    <col min="10788" max="10788" width="12.140625" style="365" bestFit="1" customWidth="1"/>
    <col min="10789" max="10790" width="11.5703125" style="365"/>
    <col min="10791" max="10791" width="15" style="365" customWidth="1"/>
    <col min="10792" max="10954" width="11.5703125" style="365"/>
    <col min="10955" max="10955" width="9.7109375" style="365" customWidth="1"/>
    <col min="10956" max="10956" width="40.7109375" style="365" customWidth="1"/>
    <col min="10957" max="10957" width="0" style="365" hidden="1" customWidth="1"/>
    <col min="10958" max="10958" width="12.7109375" style="365" customWidth="1"/>
    <col min="10959" max="10959" width="7.5703125" style="365" customWidth="1"/>
    <col min="10960" max="11043" width="2.28515625" style="365" customWidth="1"/>
    <col min="11044" max="11044" width="12.140625" style="365" bestFit="1" customWidth="1"/>
    <col min="11045" max="11046" width="11.5703125" style="365"/>
    <col min="11047" max="11047" width="15" style="365" customWidth="1"/>
    <col min="11048" max="11210" width="11.5703125" style="365"/>
    <col min="11211" max="11211" width="9.7109375" style="365" customWidth="1"/>
    <col min="11212" max="11212" width="40.7109375" style="365" customWidth="1"/>
    <col min="11213" max="11213" width="0" style="365" hidden="1" customWidth="1"/>
    <col min="11214" max="11214" width="12.7109375" style="365" customWidth="1"/>
    <col min="11215" max="11215" width="7.5703125" style="365" customWidth="1"/>
    <col min="11216" max="11299" width="2.28515625" style="365" customWidth="1"/>
    <col min="11300" max="11300" width="12.140625" style="365" bestFit="1" customWidth="1"/>
    <col min="11301" max="11302" width="11.5703125" style="365"/>
    <col min="11303" max="11303" width="15" style="365" customWidth="1"/>
    <col min="11304" max="11466" width="11.5703125" style="365"/>
    <col min="11467" max="11467" width="9.7109375" style="365" customWidth="1"/>
    <col min="11468" max="11468" width="40.7109375" style="365" customWidth="1"/>
    <col min="11469" max="11469" width="0" style="365" hidden="1" customWidth="1"/>
    <col min="11470" max="11470" width="12.7109375" style="365" customWidth="1"/>
    <col min="11471" max="11471" width="7.5703125" style="365" customWidth="1"/>
    <col min="11472" max="11555" width="2.28515625" style="365" customWidth="1"/>
    <col min="11556" max="11556" width="12.140625" style="365" bestFit="1" customWidth="1"/>
    <col min="11557" max="11558" width="11.5703125" style="365"/>
    <col min="11559" max="11559" width="15" style="365" customWidth="1"/>
    <col min="11560" max="11722" width="11.5703125" style="365"/>
    <col min="11723" max="11723" width="9.7109375" style="365" customWidth="1"/>
    <col min="11724" max="11724" width="40.7109375" style="365" customWidth="1"/>
    <col min="11725" max="11725" width="0" style="365" hidden="1" customWidth="1"/>
    <col min="11726" max="11726" width="12.7109375" style="365" customWidth="1"/>
    <col min="11727" max="11727" width="7.5703125" style="365" customWidth="1"/>
    <col min="11728" max="11811" width="2.28515625" style="365" customWidth="1"/>
    <col min="11812" max="11812" width="12.140625" style="365" bestFit="1" customWidth="1"/>
    <col min="11813" max="11814" width="11.5703125" style="365"/>
    <col min="11815" max="11815" width="15" style="365" customWidth="1"/>
    <col min="11816" max="11978" width="11.5703125" style="365"/>
    <col min="11979" max="11979" width="9.7109375" style="365" customWidth="1"/>
    <col min="11980" max="11980" width="40.7109375" style="365" customWidth="1"/>
    <col min="11981" max="11981" width="0" style="365" hidden="1" customWidth="1"/>
    <col min="11982" max="11982" width="12.7109375" style="365" customWidth="1"/>
    <col min="11983" max="11983" width="7.5703125" style="365" customWidth="1"/>
    <col min="11984" max="12067" width="2.28515625" style="365" customWidth="1"/>
    <col min="12068" max="12068" width="12.140625" style="365" bestFit="1" customWidth="1"/>
    <col min="12069" max="12070" width="11.5703125" style="365"/>
    <col min="12071" max="12071" width="15" style="365" customWidth="1"/>
    <col min="12072" max="12234" width="11.5703125" style="365"/>
    <col min="12235" max="12235" width="9.7109375" style="365" customWidth="1"/>
    <col min="12236" max="12236" width="40.7109375" style="365" customWidth="1"/>
    <col min="12237" max="12237" width="0" style="365" hidden="1" customWidth="1"/>
    <col min="12238" max="12238" width="12.7109375" style="365" customWidth="1"/>
    <col min="12239" max="12239" width="7.5703125" style="365" customWidth="1"/>
    <col min="12240" max="12323" width="2.28515625" style="365" customWidth="1"/>
    <col min="12324" max="12324" width="12.140625" style="365" bestFit="1" customWidth="1"/>
    <col min="12325" max="12326" width="11.5703125" style="365"/>
    <col min="12327" max="12327" width="15" style="365" customWidth="1"/>
    <col min="12328" max="12490" width="11.5703125" style="365"/>
    <col min="12491" max="12491" width="9.7109375" style="365" customWidth="1"/>
    <col min="12492" max="12492" width="40.7109375" style="365" customWidth="1"/>
    <col min="12493" max="12493" width="0" style="365" hidden="1" customWidth="1"/>
    <col min="12494" max="12494" width="12.7109375" style="365" customWidth="1"/>
    <col min="12495" max="12495" width="7.5703125" style="365" customWidth="1"/>
    <col min="12496" max="12579" width="2.28515625" style="365" customWidth="1"/>
    <col min="12580" max="12580" width="12.140625" style="365" bestFit="1" customWidth="1"/>
    <col min="12581" max="12582" width="11.5703125" style="365"/>
    <col min="12583" max="12583" width="15" style="365" customWidth="1"/>
    <col min="12584" max="12746" width="11.5703125" style="365"/>
    <col min="12747" max="12747" width="9.7109375" style="365" customWidth="1"/>
    <col min="12748" max="12748" width="40.7109375" style="365" customWidth="1"/>
    <col min="12749" max="12749" width="0" style="365" hidden="1" customWidth="1"/>
    <col min="12750" max="12750" width="12.7109375" style="365" customWidth="1"/>
    <col min="12751" max="12751" width="7.5703125" style="365" customWidth="1"/>
    <col min="12752" max="12835" width="2.28515625" style="365" customWidth="1"/>
    <col min="12836" max="12836" width="12.140625" style="365" bestFit="1" customWidth="1"/>
    <col min="12837" max="12838" width="11.5703125" style="365"/>
    <col min="12839" max="12839" width="15" style="365" customWidth="1"/>
    <col min="12840" max="13002" width="11.5703125" style="365"/>
    <col min="13003" max="13003" width="9.7109375" style="365" customWidth="1"/>
    <col min="13004" max="13004" width="40.7109375" style="365" customWidth="1"/>
    <col min="13005" max="13005" width="0" style="365" hidden="1" customWidth="1"/>
    <col min="13006" max="13006" width="12.7109375" style="365" customWidth="1"/>
    <col min="13007" max="13007" width="7.5703125" style="365" customWidth="1"/>
    <col min="13008" max="13091" width="2.28515625" style="365" customWidth="1"/>
    <col min="13092" max="13092" width="12.140625" style="365" bestFit="1" customWidth="1"/>
    <col min="13093" max="13094" width="11.5703125" style="365"/>
    <col min="13095" max="13095" width="15" style="365" customWidth="1"/>
    <col min="13096" max="13258" width="11.5703125" style="365"/>
    <col min="13259" max="13259" width="9.7109375" style="365" customWidth="1"/>
    <col min="13260" max="13260" width="40.7109375" style="365" customWidth="1"/>
    <col min="13261" max="13261" width="0" style="365" hidden="1" customWidth="1"/>
    <col min="13262" max="13262" width="12.7109375" style="365" customWidth="1"/>
    <col min="13263" max="13263" width="7.5703125" style="365" customWidth="1"/>
    <col min="13264" max="13347" width="2.28515625" style="365" customWidth="1"/>
    <col min="13348" max="13348" width="12.140625" style="365" bestFit="1" customWidth="1"/>
    <col min="13349" max="13350" width="11.5703125" style="365"/>
    <col min="13351" max="13351" width="15" style="365" customWidth="1"/>
    <col min="13352" max="13514" width="11.5703125" style="365"/>
    <col min="13515" max="13515" width="9.7109375" style="365" customWidth="1"/>
    <col min="13516" max="13516" width="40.7109375" style="365" customWidth="1"/>
    <col min="13517" max="13517" width="0" style="365" hidden="1" customWidth="1"/>
    <col min="13518" max="13518" width="12.7109375" style="365" customWidth="1"/>
    <col min="13519" max="13519" width="7.5703125" style="365" customWidth="1"/>
    <col min="13520" max="13603" width="2.28515625" style="365" customWidth="1"/>
    <col min="13604" max="13604" width="12.140625" style="365" bestFit="1" customWidth="1"/>
    <col min="13605" max="13606" width="11.5703125" style="365"/>
    <col min="13607" max="13607" width="15" style="365" customWidth="1"/>
    <col min="13608" max="13770" width="11.5703125" style="365"/>
    <col min="13771" max="13771" width="9.7109375" style="365" customWidth="1"/>
    <col min="13772" max="13772" width="40.7109375" style="365" customWidth="1"/>
    <col min="13773" max="13773" width="0" style="365" hidden="1" customWidth="1"/>
    <col min="13774" max="13774" width="12.7109375" style="365" customWidth="1"/>
    <col min="13775" max="13775" width="7.5703125" style="365" customWidth="1"/>
    <col min="13776" max="13859" width="2.28515625" style="365" customWidth="1"/>
    <col min="13860" max="13860" width="12.140625" style="365" bestFit="1" customWidth="1"/>
    <col min="13861" max="13862" width="11.5703125" style="365"/>
    <col min="13863" max="13863" width="15" style="365" customWidth="1"/>
    <col min="13864" max="14026" width="11.5703125" style="365"/>
    <col min="14027" max="14027" width="9.7109375" style="365" customWidth="1"/>
    <col min="14028" max="14028" width="40.7109375" style="365" customWidth="1"/>
    <col min="14029" max="14029" width="0" style="365" hidden="1" customWidth="1"/>
    <col min="14030" max="14030" width="12.7109375" style="365" customWidth="1"/>
    <col min="14031" max="14031" width="7.5703125" style="365" customWidth="1"/>
    <col min="14032" max="14115" width="2.28515625" style="365" customWidth="1"/>
    <col min="14116" max="14116" width="12.140625" style="365" bestFit="1" customWidth="1"/>
    <col min="14117" max="14118" width="11.5703125" style="365"/>
    <col min="14119" max="14119" width="15" style="365" customWidth="1"/>
    <col min="14120" max="14282" width="11.5703125" style="365"/>
    <col min="14283" max="14283" width="9.7109375" style="365" customWidth="1"/>
    <col min="14284" max="14284" width="40.7109375" style="365" customWidth="1"/>
    <col min="14285" max="14285" width="0" style="365" hidden="1" customWidth="1"/>
    <col min="14286" max="14286" width="12.7109375" style="365" customWidth="1"/>
    <col min="14287" max="14287" width="7.5703125" style="365" customWidth="1"/>
    <col min="14288" max="14371" width="2.28515625" style="365" customWidth="1"/>
    <col min="14372" max="14372" width="12.140625" style="365" bestFit="1" customWidth="1"/>
    <col min="14373" max="14374" width="11.5703125" style="365"/>
    <col min="14375" max="14375" width="15" style="365" customWidth="1"/>
    <col min="14376" max="14538" width="11.5703125" style="365"/>
    <col min="14539" max="14539" width="9.7109375" style="365" customWidth="1"/>
    <col min="14540" max="14540" width="40.7109375" style="365" customWidth="1"/>
    <col min="14541" max="14541" width="0" style="365" hidden="1" customWidth="1"/>
    <col min="14542" max="14542" width="12.7109375" style="365" customWidth="1"/>
    <col min="14543" max="14543" width="7.5703125" style="365" customWidth="1"/>
    <col min="14544" max="14627" width="2.28515625" style="365" customWidth="1"/>
    <col min="14628" max="14628" width="12.140625" style="365" bestFit="1" customWidth="1"/>
    <col min="14629" max="14630" width="11.5703125" style="365"/>
    <col min="14631" max="14631" width="15" style="365" customWidth="1"/>
    <col min="14632" max="14794" width="11.5703125" style="365"/>
    <col min="14795" max="14795" width="9.7109375" style="365" customWidth="1"/>
    <col min="14796" max="14796" width="40.7109375" style="365" customWidth="1"/>
    <col min="14797" max="14797" width="0" style="365" hidden="1" customWidth="1"/>
    <col min="14798" max="14798" width="12.7109375" style="365" customWidth="1"/>
    <col min="14799" max="14799" width="7.5703125" style="365" customWidth="1"/>
    <col min="14800" max="14883" width="2.28515625" style="365" customWidth="1"/>
    <col min="14884" max="14884" width="12.140625" style="365" bestFit="1" customWidth="1"/>
    <col min="14885" max="14886" width="11.5703125" style="365"/>
    <col min="14887" max="14887" width="15" style="365" customWidth="1"/>
    <col min="14888" max="15050" width="11.5703125" style="365"/>
    <col min="15051" max="15051" width="9.7109375" style="365" customWidth="1"/>
    <col min="15052" max="15052" width="40.7109375" style="365" customWidth="1"/>
    <col min="15053" max="15053" width="0" style="365" hidden="1" customWidth="1"/>
    <col min="15054" max="15054" width="12.7109375" style="365" customWidth="1"/>
    <col min="15055" max="15055" width="7.5703125" style="365" customWidth="1"/>
    <col min="15056" max="15139" width="2.28515625" style="365" customWidth="1"/>
    <col min="15140" max="15140" width="12.140625" style="365" bestFit="1" customWidth="1"/>
    <col min="15141" max="15142" width="11.5703125" style="365"/>
    <col min="15143" max="15143" width="15" style="365" customWidth="1"/>
    <col min="15144" max="15306" width="11.5703125" style="365"/>
    <col min="15307" max="15307" width="9.7109375" style="365" customWidth="1"/>
    <col min="15308" max="15308" width="40.7109375" style="365" customWidth="1"/>
    <col min="15309" max="15309" width="0" style="365" hidden="1" customWidth="1"/>
    <col min="15310" max="15310" width="12.7109375" style="365" customWidth="1"/>
    <col min="15311" max="15311" width="7.5703125" style="365" customWidth="1"/>
    <col min="15312" max="15395" width="2.28515625" style="365" customWidth="1"/>
    <col min="15396" max="15396" width="12.140625" style="365" bestFit="1" customWidth="1"/>
    <col min="15397" max="15398" width="11.5703125" style="365"/>
    <col min="15399" max="15399" width="15" style="365" customWidth="1"/>
    <col min="15400" max="15562" width="11.5703125" style="365"/>
    <col min="15563" max="15563" width="9.7109375" style="365" customWidth="1"/>
    <col min="15564" max="15564" width="40.7109375" style="365" customWidth="1"/>
    <col min="15565" max="15565" width="0" style="365" hidden="1" customWidth="1"/>
    <col min="15566" max="15566" width="12.7109375" style="365" customWidth="1"/>
    <col min="15567" max="15567" width="7.5703125" style="365" customWidth="1"/>
    <col min="15568" max="15651" width="2.28515625" style="365" customWidth="1"/>
    <col min="15652" max="15652" width="12.140625" style="365" bestFit="1" customWidth="1"/>
    <col min="15653" max="15654" width="11.5703125" style="365"/>
    <col min="15655" max="15655" width="15" style="365" customWidth="1"/>
    <col min="15656" max="15818" width="11.5703125" style="365"/>
    <col min="15819" max="15819" width="9.7109375" style="365" customWidth="1"/>
    <col min="15820" max="15820" width="40.7109375" style="365" customWidth="1"/>
    <col min="15821" max="15821" width="0" style="365" hidden="1" customWidth="1"/>
    <col min="15822" max="15822" width="12.7109375" style="365" customWidth="1"/>
    <col min="15823" max="15823" width="7.5703125" style="365" customWidth="1"/>
    <col min="15824" max="15907" width="2.28515625" style="365" customWidth="1"/>
    <col min="15908" max="15908" width="12.140625" style="365" bestFit="1" customWidth="1"/>
    <col min="15909" max="15910" width="11.5703125" style="365"/>
    <col min="15911" max="15911" width="15" style="365" customWidth="1"/>
    <col min="15912" max="16074" width="11.5703125" style="365"/>
    <col min="16075" max="16075" width="9.7109375" style="365" customWidth="1"/>
    <col min="16076" max="16076" width="40.7109375" style="365" customWidth="1"/>
    <col min="16077" max="16077" width="0" style="365" hidden="1" customWidth="1"/>
    <col min="16078" max="16078" width="12.7109375" style="365" customWidth="1"/>
    <col min="16079" max="16079" width="7.5703125" style="365" customWidth="1"/>
    <col min="16080" max="16163" width="2.28515625" style="365" customWidth="1"/>
    <col min="16164" max="16164" width="12.140625" style="365" bestFit="1" customWidth="1"/>
    <col min="16165" max="16166" width="11.5703125" style="365"/>
    <col min="16167" max="16167" width="15" style="365" customWidth="1"/>
    <col min="16168" max="16384" width="11.5703125" style="365"/>
  </cols>
  <sheetData>
    <row r="1" spans="1:201">
      <c r="A1" s="918"/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  <c r="O1" s="918"/>
      <c r="P1" s="918"/>
      <c r="Q1" s="918"/>
      <c r="R1" s="918"/>
      <c r="S1" s="918"/>
      <c r="T1" s="918"/>
      <c r="U1" s="918"/>
      <c r="V1" s="918"/>
      <c r="W1" s="918"/>
      <c r="X1" s="918"/>
      <c r="Y1" s="918"/>
      <c r="Z1" s="918"/>
      <c r="AA1" s="918"/>
      <c r="AB1" s="918"/>
      <c r="AC1" s="918"/>
      <c r="AD1" s="918"/>
      <c r="AE1" s="918"/>
      <c r="AF1" s="918"/>
      <c r="AG1" s="918"/>
      <c r="AH1" s="918"/>
      <c r="AI1" s="918"/>
      <c r="AJ1" s="918"/>
      <c r="AK1" s="918"/>
      <c r="AL1" s="918"/>
      <c r="AM1" s="918"/>
      <c r="AN1" s="918"/>
      <c r="AO1" s="918"/>
    </row>
    <row r="2" spans="1:201">
      <c r="A2" s="919"/>
      <c r="B2" s="919"/>
      <c r="C2" s="919"/>
      <c r="D2" s="919"/>
      <c r="E2" s="919"/>
      <c r="F2" s="919"/>
      <c r="G2" s="919"/>
      <c r="H2" s="919"/>
      <c r="I2" s="919"/>
      <c r="J2" s="919"/>
      <c r="K2" s="919"/>
      <c r="L2" s="919"/>
      <c r="M2" s="919"/>
      <c r="N2" s="919"/>
      <c r="O2" s="919"/>
      <c r="P2" s="919"/>
      <c r="Q2" s="919"/>
      <c r="R2" s="919"/>
      <c r="S2" s="919"/>
      <c r="T2" s="919"/>
      <c r="U2" s="919"/>
      <c r="V2" s="919"/>
      <c r="W2" s="919"/>
      <c r="X2" s="919"/>
      <c r="Y2" s="919"/>
      <c r="Z2" s="919"/>
      <c r="AA2" s="919"/>
      <c r="AB2" s="919"/>
      <c r="AC2" s="919"/>
      <c r="AD2" s="919"/>
      <c r="AE2" s="919"/>
      <c r="AF2" s="919"/>
      <c r="AG2" s="919"/>
      <c r="AH2" s="919"/>
      <c r="AI2" s="919"/>
      <c r="AJ2" s="919"/>
      <c r="AK2" s="919"/>
      <c r="AL2" s="919"/>
      <c r="AM2" s="919"/>
      <c r="AN2" s="919"/>
      <c r="AO2" s="919"/>
    </row>
    <row r="3" spans="1:201">
      <c r="A3" s="919"/>
      <c r="B3" s="919"/>
      <c r="C3" s="919"/>
      <c r="D3" s="919"/>
      <c r="E3" s="919"/>
      <c r="F3" s="919"/>
      <c r="G3" s="919"/>
      <c r="H3" s="919"/>
      <c r="I3" s="919"/>
      <c r="J3" s="919"/>
      <c r="K3" s="919"/>
      <c r="L3" s="919"/>
      <c r="M3" s="919"/>
      <c r="N3" s="919"/>
      <c r="O3" s="919"/>
      <c r="P3" s="919"/>
      <c r="Q3" s="919"/>
      <c r="R3" s="919"/>
      <c r="S3" s="919"/>
      <c r="T3" s="919"/>
      <c r="U3" s="919"/>
      <c r="V3" s="919"/>
      <c r="W3" s="919"/>
      <c r="X3" s="919"/>
      <c r="Y3" s="919"/>
      <c r="Z3" s="919"/>
      <c r="AA3" s="919"/>
      <c r="AB3" s="919"/>
      <c r="AC3" s="919"/>
      <c r="AD3" s="919"/>
      <c r="AE3" s="919"/>
      <c r="AF3" s="919"/>
      <c r="AG3" s="919"/>
      <c r="AH3" s="919"/>
      <c r="AI3" s="919"/>
      <c r="AJ3" s="919"/>
      <c r="AK3" s="919"/>
      <c r="AL3" s="919"/>
      <c r="AM3" s="919"/>
      <c r="AN3" s="919"/>
      <c r="AO3" s="919"/>
    </row>
    <row r="4" spans="1:201">
      <c r="A4" s="918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</row>
    <row r="5" spans="1:201">
      <c r="A5" s="366"/>
      <c r="B5" s="367"/>
      <c r="C5" s="368"/>
      <c r="D5" s="369"/>
      <c r="E5" s="370"/>
      <c r="F5" s="366"/>
      <c r="G5" s="366"/>
      <c r="H5" s="366"/>
      <c r="I5" s="366"/>
      <c r="J5" s="364"/>
      <c r="K5" s="364"/>
      <c r="L5" s="366"/>
      <c r="M5" s="366"/>
      <c r="N5" s="366"/>
      <c r="O5" s="366"/>
      <c r="P5" s="364"/>
      <c r="Q5" s="364"/>
      <c r="R5" s="366"/>
      <c r="S5" s="366"/>
      <c r="T5" s="366"/>
      <c r="U5" s="366"/>
      <c r="V5" s="364"/>
      <c r="W5" s="364"/>
      <c r="X5" s="366"/>
      <c r="Y5" s="366"/>
      <c r="Z5" s="366"/>
      <c r="AA5" s="366"/>
      <c r="AB5" s="364"/>
      <c r="AC5" s="364"/>
      <c r="AD5" s="366"/>
      <c r="AE5" s="366"/>
      <c r="AF5" s="366"/>
      <c r="AG5" s="366"/>
      <c r="AH5" s="364"/>
      <c r="AI5" s="364"/>
      <c r="AJ5" s="366"/>
      <c r="AK5" s="366"/>
      <c r="AL5" s="366"/>
      <c r="AM5" s="366"/>
      <c r="AN5" s="364"/>
      <c r="AO5" s="364"/>
    </row>
    <row r="6" spans="1:201" ht="15">
      <c r="A6" s="842" t="s">
        <v>2619</v>
      </c>
      <c r="B6" s="842"/>
      <c r="C6" s="842"/>
      <c r="D6" s="842"/>
      <c r="E6" s="842"/>
      <c r="F6" s="842"/>
      <c r="G6" s="842"/>
      <c r="H6" s="842"/>
      <c r="I6" s="842"/>
      <c r="J6" s="842"/>
      <c r="K6" s="842"/>
      <c r="L6" s="364"/>
      <c r="M6" s="364"/>
      <c r="N6" s="366"/>
      <c r="O6" s="366"/>
      <c r="P6" s="364"/>
      <c r="Q6" s="364"/>
      <c r="R6" s="364"/>
      <c r="S6" s="364"/>
      <c r="T6" s="366"/>
      <c r="U6" s="366"/>
      <c r="V6" s="364"/>
      <c r="W6" s="364"/>
      <c r="X6" s="364"/>
      <c r="Y6" s="364"/>
      <c r="Z6" s="366"/>
      <c r="AA6" s="366"/>
      <c r="AB6" s="364"/>
      <c r="AC6" s="364"/>
      <c r="AD6" s="364"/>
      <c r="AE6" s="364"/>
      <c r="AF6" s="366"/>
      <c r="AG6" s="366"/>
      <c r="AH6" s="364"/>
      <c r="AI6" s="364"/>
      <c r="AJ6" s="364"/>
      <c r="AK6" s="364"/>
      <c r="AL6" s="366"/>
      <c r="AM6" s="366"/>
      <c r="AN6" s="364"/>
      <c r="AO6" s="364"/>
      <c r="AP6" s="519"/>
      <c r="AQ6" s="371"/>
      <c r="AR6" s="371"/>
      <c r="AS6" s="371"/>
      <c r="AT6" s="371"/>
      <c r="AU6" s="371"/>
    </row>
    <row r="7" spans="1:201" ht="15">
      <c r="A7" s="843" t="s">
        <v>2620</v>
      </c>
      <c r="B7" s="844"/>
      <c r="C7" s="844"/>
      <c r="D7" s="844"/>
      <c r="E7" s="844"/>
      <c r="F7" s="844"/>
      <c r="G7" s="844"/>
      <c r="H7" s="844"/>
      <c r="I7" s="844"/>
      <c r="J7" s="844"/>
      <c r="K7" s="844"/>
      <c r="L7" s="713"/>
      <c r="M7" s="713"/>
      <c r="N7" s="714"/>
      <c r="O7" s="715"/>
      <c r="P7" s="715"/>
      <c r="Q7" s="713"/>
      <c r="R7" s="713"/>
      <c r="S7" s="713"/>
      <c r="T7" s="714"/>
      <c r="U7" s="715"/>
      <c r="V7" s="715"/>
      <c r="W7" s="713"/>
      <c r="X7" s="713"/>
      <c r="Y7" s="713"/>
      <c r="Z7" s="714"/>
      <c r="AA7" s="715"/>
      <c r="AB7" s="715"/>
      <c r="AC7" s="713"/>
      <c r="AD7" s="713"/>
      <c r="AE7" s="713"/>
      <c r="AF7" s="714"/>
      <c r="AG7" s="917" t="s">
        <v>2625</v>
      </c>
      <c r="AH7" s="917"/>
      <c r="AI7" s="917"/>
      <c r="AJ7" s="917"/>
      <c r="AK7" s="917"/>
      <c r="AL7" s="917"/>
      <c r="AM7" s="917"/>
      <c r="AN7" s="917"/>
      <c r="AO7" s="917"/>
      <c r="AP7" s="519"/>
      <c r="AQ7" s="371"/>
      <c r="AR7" s="371"/>
      <c r="AS7" s="371"/>
      <c r="AT7" s="371"/>
      <c r="AU7" s="371"/>
      <c r="AV7" s="372"/>
      <c r="AW7" s="372"/>
      <c r="AX7" s="372"/>
      <c r="AY7" s="372"/>
      <c r="AZ7" s="372"/>
      <c r="BA7" s="372"/>
      <c r="BB7" s="372"/>
      <c r="BC7" s="372"/>
      <c r="BD7" s="372"/>
      <c r="BE7" s="372"/>
      <c r="BF7" s="372"/>
      <c r="BG7" s="372"/>
      <c r="BH7" s="372"/>
      <c r="BI7" s="372"/>
      <c r="BJ7" s="372"/>
      <c r="BK7" s="372"/>
      <c r="BL7" s="372"/>
      <c r="BM7" s="372"/>
      <c r="BN7" s="372"/>
      <c r="BO7" s="372"/>
      <c r="BP7" s="372"/>
      <c r="BQ7" s="372"/>
      <c r="BR7" s="372"/>
      <c r="BS7" s="372"/>
      <c r="BT7" s="372"/>
      <c r="BU7" s="372"/>
      <c r="BV7" s="372"/>
      <c r="BW7" s="372"/>
      <c r="BX7" s="372"/>
      <c r="BY7" s="372"/>
      <c r="BZ7" s="372"/>
      <c r="CA7" s="372"/>
      <c r="CB7" s="372"/>
      <c r="CC7" s="372"/>
      <c r="CD7" s="372"/>
      <c r="CE7" s="372"/>
      <c r="CF7" s="372"/>
      <c r="CG7" s="372"/>
      <c r="CH7" s="372"/>
      <c r="CI7" s="372"/>
      <c r="CJ7" s="372"/>
      <c r="CK7" s="372"/>
      <c r="CL7" s="372"/>
      <c r="CM7" s="372"/>
      <c r="CN7" s="372"/>
      <c r="CO7" s="372"/>
      <c r="CP7" s="372"/>
      <c r="CQ7" s="372"/>
      <c r="CR7" s="372"/>
      <c r="CS7" s="372"/>
      <c r="CT7" s="372"/>
      <c r="CU7" s="372"/>
      <c r="CV7" s="372"/>
      <c r="CW7" s="372"/>
      <c r="CX7" s="372"/>
      <c r="CY7" s="372"/>
      <c r="CZ7" s="372"/>
      <c r="DA7" s="372"/>
      <c r="DB7" s="372"/>
      <c r="DC7" s="372"/>
      <c r="DD7" s="372"/>
      <c r="DE7" s="372"/>
      <c r="DF7" s="372"/>
      <c r="DG7" s="372"/>
      <c r="DH7" s="372"/>
      <c r="DI7" s="372"/>
      <c r="DJ7" s="372"/>
      <c r="DK7" s="372"/>
      <c r="DL7" s="372"/>
      <c r="DM7" s="372"/>
      <c r="DN7" s="372"/>
      <c r="DO7" s="372"/>
      <c r="DP7" s="372"/>
      <c r="DQ7" s="372"/>
      <c r="DR7" s="372"/>
      <c r="DS7" s="372"/>
      <c r="DT7" s="372"/>
      <c r="DU7" s="372"/>
      <c r="DV7" s="372"/>
      <c r="DW7" s="372"/>
      <c r="DX7" s="372"/>
      <c r="DY7" s="372"/>
      <c r="DZ7" s="372"/>
      <c r="EA7" s="372"/>
      <c r="EB7" s="372"/>
      <c r="EC7" s="372"/>
      <c r="ED7" s="372"/>
      <c r="EE7" s="372"/>
      <c r="EF7" s="372"/>
      <c r="EG7" s="372"/>
      <c r="EH7" s="372"/>
      <c r="EI7" s="372"/>
      <c r="EJ7" s="372"/>
      <c r="EK7" s="372"/>
      <c r="EL7" s="372"/>
      <c r="EM7" s="372"/>
      <c r="EN7" s="372"/>
      <c r="EO7" s="372"/>
      <c r="EP7" s="372"/>
      <c r="EQ7" s="372"/>
      <c r="ER7" s="372"/>
      <c r="ES7" s="372"/>
      <c r="ET7" s="372"/>
      <c r="EU7" s="372"/>
      <c r="EV7" s="372"/>
      <c r="EW7" s="372"/>
      <c r="EX7" s="372"/>
      <c r="EY7" s="372"/>
      <c r="EZ7" s="372"/>
      <c r="FA7" s="372"/>
      <c r="FB7" s="372"/>
      <c r="FC7" s="372"/>
      <c r="FD7" s="372"/>
      <c r="FE7" s="372"/>
      <c r="FF7" s="372"/>
      <c r="FG7" s="372"/>
      <c r="FH7" s="372"/>
      <c r="FI7" s="372"/>
      <c r="FJ7" s="372"/>
      <c r="FK7" s="372"/>
      <c r="FL7" s="372"/>
      <c r="FM7" s="372"/>
      <c r="FN7" s="372"/>
      <c r="FO7" s="372"/>
      <c r="FP7" s="372"/>
      <c r="FQ7" s="372"/>
      <c r="FR7" s="372"/>
      <c r="FS7" s="372"/>
      <c r="FT7" s="372"/>
      <c r="FU7" s="372"/>
      <c r="FV7" s="372"/>
      <c r="FW7" s="372"/>
      <c r="FX7" s="372"/>
      <c r="FY7" s="372"/>
      <c r="FZ7" s="372"/>
      <c r="GA7" s="372"/>
      <c r="GB7" s="372"/>
      <c r="GC7" s="372"/>
      <c r="GD7" s="372"/>
      <c r="GE7" s="372"/>
      <c r="GF7" s="372"/>
      <c r="GG7" s="372"/>
      <c r="GH7" s="372"/>
      <c r="GI7" s="372"/>
      <c r="GJ7" s="372"/>
      <c r="GK7" s="372"/>
      <c r="GL7" s="372"/>
      <c r="GM7" s="372"/>
      <c r="GN7" s="372"/>
      <c r="GO7" s="372"/>
      <c r="GP7" s="372"/>
      <c r="GQ7" s="372"/>
      <c r="GR7" s="372"/>
      <c r="GS7" s="372"/>
    </row>
    <row r="8" spans="1:201" ht="13.5" thickBot="1">
      <c r="A8" s="364"/>
      <c r="B8" s="373"/>
      <c r="C8" s="374"/>
      <c r="D8" s="369"/>
      <c r="E8" s="370"/>
      <c r="F8" s="845"/>
      <c r="G8" s="845"/>
      <c r="H8" s="845"/>
      <c r="I8" s="845"/>
      <c r="J8" s="845"/>
      <c r="K8" s="845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</row>
    <row r="9" spans="1:201">
      <c r="A9" s="846" t="s">
        <v>1998</v>
      </c>
      <c r="B9" s="802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3"/>
    </row>
    <row r="10" spans="1:201" ht="13.5" thickBot="1">
      <c r="A10" s="847"/>
      <c r="B10" s="804"/>
      <c r="C10" s="804"/>
      <c r="D10" s="804"/>
      <c r="E10" s="804"/>
      <c r="F10" s="804"/>
      <c r="G10" s="804"/>
      <c r="H10" s="804"/>
      <c r="I10" s="804"/>
      <c r="J10" s="804"/>
      <c r="K10" s="804"/>
      <c r="L10" s="804"/>
      <c r="M10" s="804"/>
      <c r="N10" s="804"/>
      <c r="O10" s="804"/>
      <c r="P10" s="804"/>
      <c r="Q10" s="804"/>
      <c r="R10" s="804"/>
      <c r="S10" s="804"/>
      <c r="T10" s="804"/>
      <c r="U10" s="804"/>
      <c r="V10" s="804"/>
      <c r="W10" s="804"/>
      <c r="X10" s="804"/>
      <c r="Y10" s="804"/>
      <c r="Z10" s="804"/>
      <c r="AA10" s="804"/>
      <c r="AB10" s="804"/>
      <c r="AC10" s="804"/>
      <c r="AD10" s="804"/>
      <c r="AE10" s="804"/>
      <c r="AF10" s="804"/>
      <c r="AG10" s="804"/>
      <c r="AH10" s="804"/>
      <c r="AI10" s="804"/>
      <c r="AJ10" s="804"/>
      <c r="AK10" s="804"/>
      <c r="AL10" s="804"/>
      <c r="AM10" s="804"/>
      <c r="AN10" s="804"/>
      <c r="AO10" s="805"/>
    </row>
    <row r="11" spans="1:201" ht="15">
      <c r="A11" s="848" t="s">
        <v>490</v>
      </c>
      <c r="B11" s="850" t="s">
        <v>1999</v>
      </c>
      <c r="C11" s="716" t="s">
        <v>2000</v>
      </c>
      <c r="D11" s="852" t="s">
        <v>2001</v>
      </c>
      <c r="E11" s="865" t="s">
        <v>2002</v>
      </c>
      <c r="F11" s="867" t="s">
        <v>2003</v>
      </c>
      <c r="G11" s="868"/>
      <c r="H11" s="868"/>
      <c r="I11" s="868"/>
      <c r="J11" s="868"/>
      <c r="K11" s="868"/>
      <c r="L11" s="862" t="s">
        <v>2004</v>
      </c>
      <c r="M11" s="862"/>
      <c r="N11" s="862"/>
      <c r="O11" s="862"/>
      <c r="P11" s="862"/>
      <c r="Q11" s="862"/>
      <c r="R11" s="862" t="s">
        <v>2005</v>
      </c>
      <c r="S11" s="862"/>
      <c r="T11" s="862"/>
      <c r="U11" s="862"/>
      <c r="V11" s="862"/>
      <c r="W11" s="862"/>
      <c r="X11" s="862" t="s">
        <v>2006</v>
      </c>
      <c r="Y11" s="862"/>
      <c r="Z11" s="862"/>
      <c r="AA11" s="862"/>
      <c r="AB11" s="862"/>
      <c r="AC11" s="862"/>
      <c r="AD11" s="862" t="s">
        <v>2007</v>
      </c>
      <c r="AE11" s="862"/>
      <c r="AF11" s="862"/>
      <c r="AG11" s="862"/>
      <c r="AH11" s="862"/>
      <c r="AI11" s="862"/>
      <c r="AJ11" s="854" t="s">
        <v>2014</v>
      </c>
      <c r="AK11" s="855"/>
      <c r="AL11" s="855"/>
      <c r="AM11" s="855"/>
      <c r="AN11" s="855"/>
      <c r="AO11" s="856"/>
    </row>
    <row r="12" spans="1:201" ht="15.75" thickBot="1">
      <c r="A12" s="849"/>
      <c r="B12" s="851"/>
      <c r="C12" s="717" t="s">
        <v>2008</v>
      </c>
      <c r="D12" s="853"/>
      <c r="E12" s="866"/>
      <c r="F12" s="863" t="s">
        <v>2009</v>
      </c>
      <c r="G12" s="864"/>
      <c r="H12" s="864"/>
      <c r="I12" s="864"/>
      <c r="J12" s="864"/>
      <c r="K12" s="864"/>
      <c r="L12" s="863" t="s">
        <v>2009</v>
      </c>
      <c r="M12" s="864"/>
      <c r="N12" s="864"/>
      <c r="O12" s="864"/>
      <c r="P12" s="864"/>
      <c r="Q12" s="864"/>
      <c r="R12" s="863" t="s">
        <v>2009</v>
      </c>
      <c r="S12" s="864"/>
      <c r="T12" s="864"/>
      <c r="U12" s="864"/>
      <c r="V12" s="864"/>
      <c r="W12" s="864"/>
      <c r="X12" s="863" t="s">
        <v>2009</v>
      </c>
      <c r="Y12" s="864"/>
      <c r="Z12" s="864"/>
      <c r="AA12" s="864"/>
      <c r="AB12" s="864"/>
      <c r="AC12" s="864"/>
      <c r="AD12" s="863" t="s">
        <v>2009</v>
      </c>
      <c r="AE12" s="864"/>
      <c r="AF12" s="864"/>
      <c r="AG12" s="864"/>
      <c r="AH12" s="864"/>
      <c r="AI12" s="864"/>
      <c r="AJ12" s="857" t="s">
        <v>2009</v>
      </c>
      <c r="AK12" s="858"/>
      <c r="AL12" s="858"/>
      <c r="AM12" s="858"/>
      <c r="AN12" s="858"/>
      <c r="AO12" s="859"/>
      <c r="AT12" s="375"/>
      <c r="AU12" s="375"/>
      <c r="AV12" s="375"/>
      <c r="AW12" s="375"/>
      <c r="AX12" s="375"/>
      <c r="AY12" s="375"/>
      <c r="AZ12" s="375"/>
      <c r="BA12" s="375"/>
      <c r="BB12" s="375"/>
      <c r="BC12" s="375"/>
      <c r="BD12" s="375"/>
      <c r="BE12" s="375"/>
      <c r="BF12" s="375"/>
      <c r="BG12" s="375"/>
      <c r="BH12" s="375"/>
      <c r="BI12" s="375"/>
      <c r="BJ12" s="375"/>
      <c r="BK12" s="375"/>
      <c r="BL12" s="375"/>
      <c r="BM12" s="375"/>
      <c r="BN12" s="375"/>
      <c r="BO12" s="375"/>
      <c r="BP12" s="375"/>
      <c r="BQ12" s="375"/>
      <c r="BR12" s="375"/>
      <c r="BS12" s="375"/>
      <c r="BT12" s="375"/>
      <c r="BU12" s="375"/>
      <c r="BV12" s="375"/>
      <c r="BW12" s="375"/>
      <c r="BX12" s="375"/>
      <c r="BY12" s="375"/>
      <c r="BZ12" s="375"/>
      <c r="CA12" s="375"/>
      <c r="CB12" s="375"/>
      <c r="CC12" s="375"/>
      <c r="CD12" s="375"/>
      <c r="CE12" s="375"/>
      <c r="CF12" s="375"/>
      <c r="CG12" s="375"/>
      <c r="CH12" s="375"/>
      <c r="CI12" s="375"/>
      <c r="CJ12" s="375"/>
      <c r="CK12" s="375"/>
      <c r="CL12" s="375"/>
      <c r="CM12" s="375"/>
      <c r="CN12" s="375"/>
      <c r="CO12" s="375"/>
      <c r="CP12" s="375"/>
      <c r="CQ12" s="375"/>
      <c r="CR12" s="375"/>
      <c r="CS12" s="375"/>
      <c r="CT12" s="375"/>
      <c r="CU12" s="375"/>
      <c r="CV12" s="375"/>
      <c r="CW12" s="375"/>
      <c r="CX12" s="375"/>
      <c r="CY12" s="375"/>
      <c r="CZ12" s="375"/>
      <c r="DA12" s="375"/>
      <c r="DB12" s="375"/>
      <c r="DC12" s="375"/>
      <c r="DD12" s="375"/>
      <c r="DE12" s="375"/>
      <c r="DF12" s="375"/>
      <c r="DG12" s="375"/>
      <c r="DH12" s="375"/>
      <c r="DI12" s="375"/>
      <c r="DJ12" s="375"/>
      <c r="DK12" s="375"/>
      <c r="DL12" s="375"/>
      <c r="DM12" s="375"/>
      <c r="DN12" s="375"/>
      <c r="DO12" s="375"/>
      <c r="DP12" s="375"/>
      <c r="DQ12" s="375"/>
      <c r="DR12" s="375"/>
      <c r="DS12" s="375"/>
      <c r="DT12" s="375"/>
      <c r="DU12" s="375"/>
      <c r="DV12" s="375"/>
      <c r="DW12" s="375"/>
      <c r="DX12" s="375"/>
      <c r="DY12" s="375"/>
      <c r="DZ12" s="375"/>
      <c r="EA12" s="375"/>
      <c r="EB12" s="375"/>
      <c r="EC12" s="375"/>
      <c r="ED12" s="375"/>
      <c r="EE12" s="375"/>
      <c r="EF12" s="375"/>
      <c r="EG12" s="375"/>
      <c r="EH12" s="375"/>
      <c r="EI12" s="375"/>
      <c r="EJ12" s="375"/>
      <c r="EK12" s="375"/>
      <c r="EL12" s="375"/>
      <c r="EM12" s="375"/>
      <c r="EN12" s="375"/>
      <c r="EO12" s="375"/>
      <c r="EP12" s="375"/>
      <c r="EQ12" s="375"/>
      <c r="ER12" s="375"/>
      <c r="ES12" s="375"/>
      <c r="ET12" s="375"/>
      <c r="EU12" s="375"/>
      <c r="EV12" s="375"/>
      <c r="EW12" s="375"/>
      <c r="EX12" s="375"/>
      <c r="EY12" s="375"/>
      <c r="EZ12" s="375"/>
      <c r="FA12" s="375"/>
      <c r="FB12" s="375"/>
      <c r="FC12" s="375"/>
      <c r="FD12" s="375"/>
      <c r="FE12" s="375"/>
      <c r="FF12" s="375"/>
      <c r="FG12" s="375"/>
      <c r="FH12" s="375"/>
      <c r="FI12" s="375"/>
      <c r="FJ12" s="375"/>
      <c r="FK12" s="375"/>
      <c r="FL12" s="375"/>
      <c r="FM12" s="375"/>
      <c r="FN12" s="375"/>
      <c r="FO12" s="375"/>
      <c r="FP12" s="375"/>
      <c r="FQ12" s="375"/>
      <c r="FR12" s="375"/>
      <c r="FS12" s="375"/>
      <c r="FT12" s="375"/>
      <c r="FU12" s="375"/>
      <c r="FV12" s="375"/>
      <c r="FW12" s="375"/>
      <c r="FX12" s="375"/>
      <c r="FY12" s="375"/>
      <c r="FZ12" s="375"/>
      <c r="GA12" s="375"/>
      <c r="GB12" s="375"/>
      <c r="GC12" s="375"/>
      <c r="GD12" s="375"/>
      <c r="GE12" s="375"/>
      <c r="GF12" s="375"/>
      <c r="GG12" s="375"/>
      <c r="GH12" s="375"/>
      <c r="GI12" s="375"/>
      <c r="GJ12" s="375"/>
      <c r="GK12" s="375"/>
      <c r="GL12" s="375"/>
      <c r="GM12" s="375"/>
      <c r="GN12" s="375"/>
      <c r="GO12" s="375"/>
      <c r="GP12" s="375"/>
      <c r="GQ12" s="375"/>
      <c r="GR12" s="375"/>
      <c r="GS12" s="375"/>
    </row>
    <row r="13" spans="1:201">
      <c r="A13" s="871">
        <f>'PLANILHA ORÇAMENTARIA'!A12</f>
        <v>1</v>
      </c>
      <c r="B13" s="874" t="str">
        <f>'PLANILHA ORÇAMENTARIA'!B12</f>
        <v>SERVIÇOS PRELIMINARES</v>
      </c>
      <c r="C13" s="877"/>
      <c r="D13" s="880">
        <f>'PLANILHA ORÇAMENTARIA'!F12</f>
        <v>8611.59</v>
      </c>
      <c r="E13" s="882">
        <f>D13/$D$82</f>
        <v>2.515067176164433E-3</v>
      </c>
      <c r="F13" s="885">
        <f>$D$13*F15</f>
        <v>5166.9539999999997</v>
      </c>
      <c r="G13" s="830"/>
      <c r="H13" s="830"/>
      <c r="I13" s="830"/>
      <c r="J13" s="830"/>
      <c r="K13" s="886"/>
      <c r="L13" s="860">
        <f>$D$13*L15</f>
        <v>1722.3180000000002</v>
      </c>
      <c r="M13" s="860"/>
      <c r="N13" s="860"/>
      <c r="O13" s="860"/>
      <c r="P13" s="860"/>
      <c r="Q13" s="860"/>
      <c r="R13" s="860">
        <f>$D$13*R15</f>
        <v>430.57950000000005</v>
      </c>
      <c r="S13" s="860"/>
      <c r="T13" s="860"/>
      <c r="U13" s="860"/>
      <c r="V13" s="860"/>
      <c r="W13" s="860"/>
      <c r="X13" s="860">
        <f>$D$13*X15</f>
        <v>430.57950000000005</v>
      </c>
      <c r="Y13" s="860"/>
      <c r="Z13" s="860"/>
      <c r="AA13" s="860"/>
      <c r="AB13" s="860"/>
      <c r="AC13" s="860"/>
      <c r="AD13" s="860">
        <f>$D$13*AD15</f>
        <v>430.57950000000005</v>
      </c>
      <c r="AE13" s="860"/>
      <c r="AF13" s="860"/>
      <c r="AG13" s="860"/>
      <c r="AH13" s="860"/>
      <c r="AI13" s="860"/>
      <c r="AJ13" s="860">
        <f>$D$13*AJ15</f>
        <v>430.57950000000005</v>
      </c>
      <c r="AK13" s="860"/>
      <c r="AL13" s="860"/>
      <c r="AM13" s="860"/>
      <c r="AN13" s="860"/>
      <c r="AO13" s="861"/>
      <c r="AP13" s="520"/>
      <c r="AT13" s="376"/>
      <c r="AU13" s="376"/>
      <c r="AV13" s="376"/>
      <c r="AW13" s="376"/>
      <c r="AX13" s="376"/>
      <c r="AY13" s="376"/>
      <c r="AZ13" s="376"/>
      <c r="BA13" s="376"/>
      <c r="BB13" s="376"/>
      <c r="BC13" s="376"/>
      <c r="BD13" s="376"/>
      <c r="BE13" s="376"/>
      <c r="BF13" s="376"/>
      <c r="BG13" s="376"/>
      <c r="BH13" s="376"/>
      <c r="BI13" s="376"/>
      <c r="BJ13" s="376"/>
      <c r="BK13" s="376"/>
      <c r="BL13" s="376"/>
      <c r="BM13" s="376"/>
      <c r="BN13" s="376"/>
      <c r="BO13" s="376"/>
      <c r="BP13" s="376"/>
      <c r="BQ13" s="376"/>
      <c r="BR13" s="376"/>
      <c r="BS13" s="376"/>
      <c r="BT13" s="376"/>
      <c r="BU13" s="376"/>
      <c r="BV13" s="376"/>
      <c r="BW13" s="376"/>
      <c r="BX13" s="376"/>
      <c r="BY13" s="376"/>
      <c r="BZ13" s="376"/>
      <c r="CA13" s="376"/>
      <c r="CB13" s="376"/>
      <c r="CC13" s="376"/>
      <c r="CD13" s="376"/>
      <c r="CE13" s="376"/>
      <c r="CF13" s="376"/>
      <c r="CG13" s="376"/>
      <c r="CH13" s="376"/>
      <c r="CI13" s="376"/>
      <c r="CJ13" s="376"/>
      <c r="CK13" s="376"/>
      <c r="CL13" s="376"/>
      <c r="CM13" s="376"/>
      <c r="CN13" s="376"/>
      <c r="CO13" s="376"/>
      <c r="CP13" s="376"/>
      <c r="CQ13" s="376"/>
      <c r="CR13" s="376"/>
      <c r="CS13" s="376"/>
      <c r="CT13" s="376"/>
      <c r="CU13" s="376"/>
      <c r="CV13" s="376"/>
      <c r="CW13" s="376"/>
      <c r="CX13" s="376"/>
      <c r="CY13" s="376"/>
      <c r="CZ13" s="376"/>
      <c r="DA13" s="376"/>
      <c r="DB13" s="376"/>
      <c r="DC13" s="376"/>
      <c r="DD13" s="376"/>
      <c r="DE13" s="376"/>
      <c r="DF13" s="376"/>
      <c r="DG13" s="376"/>
      <c r="DH13" s="376"/>
      <c r="DI13" s="376"/>
      <c r="DJ13" s="376"/>
      <c r="DK13" s="376"/>
      <c r="DL13" s="376"/>
      <c r="DM13" s="376"/>
      <c r="DN13" s="376"/>
      <c r="DO13" s="376"/>
      <c r="DP13" s="376"/>
      <c r="DQ13" s="376"/>
      <c r="DR13" s="376"/>
      <c r="DS13" s="376"/>
      <c r="DT13" s="376"/>
      <c r="DU13" s="376"/>
      <c r="DV13" s="376"/>
      <c r="DW13" s="376"/>
      <c r="DX13" s="376"/>
      <c r="DY13" s="376"/>
      <c r="DZ13" s="376"/>
      <c r="EA13" s="376"/>
      <c r="EB13" s="376"/>
      <c r="EC13" s="376"/>
      <c r="ED13" s="376"/>
      <c r="EE13" s="376"/>
      <c r="EF13" s="376"/>
      <c r="EG13" s="376"/>
      <c r="EH13" s="376"/>
      <c r="EI13" s="376"/>
      <c r="EJ13" s="376"/>
      <c r="EK13" s="376"/>
      <c r="EL13" s="376"/>
      <c r="EM13" s="376"/>
      <c r="EN13" s="376"/>
      <c r="EO13" s="376"/>
      <c r="EP13" s="376"/>
      <c r="EQ13" s="376"/>
      <c r="ER13" s="376"/>
      <c r="ES13" s="376"/>
      <c r="ET13" s="376"/>
      <c r="EU13" s="376"/>
      <c r="EV13" s="376"/>
      <c r="EW13" s="376"/>
      <c r="EX13" s="376"/>
      <c r="EY13" s="376"/>
      <c r="EZ13" s="376"/>
      <c r="FA13" s="376"/>
      <c r="FB13" s="376"/>
      <c r="FC13" s="376"/>
      <c r="FD13" s="376"/>
      <c r="FE13" s="376"/>
      <c r="FF13" s="376"/>
      <c r="FG13" s="376"/>
      <c r="FH13" s="376"/>
      <c r="FI13" s="376"/>
      <c r="FJ13" s="376"/>
      <c r="FK13" s="376"/>
      <c r="FL13" s="376"/>
      <c r="FM13" s="376"/>
      <c r="FN13" s="376"/>
      <c r="FO13" s="376"/>
      <c r="FP13" s="376"/>
      <c r="FQ13" s="376"/>
      <c r="FR13" s="376"/>
      <c r="FS13" s="376"/>
      <c r="FT13" s="376"/>
      <c r="FU13" s="376"/>
      <c r="FV13" s="376"/>
      <c r="FW13" s="376"/>
      <c r="FX13" s="376"/>
      <c r="FY13" s="376"/>
      <c r="FZ13" s="376"/>
      <c r="GA13" s="376"/>
      <c r="GB13" s="376"/>
      <c r="GC13" s="376"/>
      <c r="GD13" s="376"/>
      <c r="GE13" s="376"/>
      <c r="GF13" s="376"/>
      <c r="GG13" s="376"/>
      <c r="GH13" s="376"/>
      <c r="GI13" s="376"/>
      <c r="GJ13" s="376"/>
      <c r="GK13" s="376"/>
      <c r="GL13" s="376"/>
      <c r="GM13" s="376"/>
      <c r="GN13" s="376"/>
      <c r="GO13" s="376"/>
      <c r="GP13" s="376"/>
      <c r="GQ13" s="376"/>
      <c r="GR13" s="376"/>
      <c r="GS13" s="376"/>
    </row>
    <row r="14" spans="1:201" ht="5.0999999999999996" customHeight="1">
      <c r="A14" s="872"/>
      <c r="B14" s="875"/>
      <c r="C14" s="878"/>
      <c r="D14" s="880"/>
      <c r="E14" s="883"/>
      <c r="F14" s="718">
        <v>1</v>
      </c>
      <c r="G14" s="719">
        <v>1</v>
      </c>
      <c r="H14" s="719">
        <v>1</v>
      </c>
      <c r="I14" s="719">
        <v>1</v>
      </c>
      <c r="J14" s="719">
        <v>1</v>
      </c>
      <c r="K14" s="719">
        <v>1</v>
      </c>
      <c r="L14" s="720">
        <v>1</v>
      </c>
      <c r="M14" s="719">
        <v>1</v>
      </c>
      <c r="N14" s="719">
        <v>1</v>
      </c>
      <c r="O14" s="719">
        <v>1</v>
      </c>
      <c r="P14" s="719">
        <v>1</v>
      </c>
      <c r="Q14" s="721">
        <v>1</v>
      </c>
      <c r="R14" s="720">
        <v>1</v>
      </c>
      <c r="S14" s="719">
        <v>1</v>
      </c>
      <c r="T14" s="719">
        <v>1</v>
      </c>
      <c r="U14" s="719">
        <v>1</v>
      </c>
      <c r="V14" s="719">
        <v>1</v>
      </c>
      <c r="W14" s="721">
        <v>1</v>
      </c>
      <c r="X14" s="720">
        <v>1</v>
      </c>
      <c r="Y14" s="719">
        <v>1</v>
      </c>
      <c r="Z14" s="719">
        <v>1</v>
      </c>
      <c r="AA14" s="719">
        <v>1</v>
      </c>
      <c r="AB14" s="719">
        <v>1</v>
      </c>
      <c r="AC14" s="721">
        <v>1</v>
      </c>
      <c r="AD14" s="722">
        <v>1</v>
      </c>
      <c r="AE14" s="723">
        <v>1</v>
      </c>
      <c r="AF14" s="723">
        <v>1</v>
      </c>
      <c r="AG14" s="723">
        <v>1</v>
      </c>
      <c r="AH14" s="723">
        <v>1</v>
      </c>
      <c r="AI14" s="723">
        <v>1</v>
      </c>
      <c r="AJ14" s="722">
        <v>1</v>
      </c>
      <c r="AK14" s="723">
        <v>1</v>
      </c>
      <c r="AL14" s="723">
        <v>1</v>
      </c>
      <c r="AM14" s="723">
        <v>1</v>
      </c>
      <c r="AN14" s="723">
        <v>1</v>
      </c>
      <c r="AO14" s="724">
        <v>1</v>
      </c>
      <c r="AP14" s="516"/>
      <c r="AQ14" s="375"/>
      <c r="AR14" s="375"/>
      <c r="AS14" s="375"/>
      <c r="AT14" s="376"/>
      <c r="AU14" s="376"/>
      <c r="AV14" s="376"/>
      <c r="AW14" s="376"/>
      <c r="AX14" s="376"/>
      <c r="AY14" s="376"/>
      <c r="AZ14" s="376"/>
      <c r="BA14" s="376"/>
      <c r="BB14" s="376"/>
      <c r="BC14" s="376"/>
      <c r="BD14" s="376"/>
      <c r="BE14" s="376"/>
      <c r="BF14" s="376"/>
      <c r="BG14" s="376"/>
      <c r="BH14" s="376"/>
      <c r="BI14" s="376"/>
      <c r="BJ14" s="376"/>
      <c r="BK14" s="376"/>
      <c r="BL14" s="376"/>
      <c r="BM14" s="376"/>
      <c r="BN14" s="376"/>
      <c r="BO14" s="376"/>
      <c r="BP14" s="376"/>
      <c r="BQ14" s="376"/>
      <c r="BR14" s="376"/>
      <c r="BS14" s="376"/>
      <c r="BT14" s="376"/>
      <c r="BU14" s="376"/>
      <c r="BV14" s="376"/>
      <c r="BW14" s="376"/>
      <c r="BX14" s="376"/>
      <c r="BY14" s="376"/>
      <c r="BZ14" s="376"/>
      <c r="CA14" s="376"/>
      <c r="CB14" s="376"/>
      <c r="CC14" s="376"/>
      <c r="CD14" s="376"/>
      <c r="CE14" s="376"/>
      <c r="CF14" s="376"/>
      <c r="CG14" s="376"/>
      <c r="CH14" s="376"/>
      <c r="CI14" s="376"/>
      <c r="CJ14" s="376"/>
      <c r="CK14" s="376"/>
      <c r="CL14" s="376"/>
      <c r="CM14" s="376"/>
      <c r="CN14" s="376"/>
      <c r="CO14" s="376"/>
      <c r="CP14" s="376"/>
      <c r="CQ14" s="376"/>
      <c r="CR14" s="376"/>
      <c r="CS14" s="376"/>
      <c r="CT14" s="376"/>
      <c r="CU14" s="376"/>
      <c r="CV14" s="376"/>
      <c r="CW14" s="376"/>
      <c r="CX14" s="376"/>
      <c r="CY14" s="376"/>
      <c r="CZ14" s="376"/>
      <c r="DA14" s="376"/>
      <c r="DB14" s="376"/>
      <c r="DC14" s="376"/>
      <c r="DD14" s="376"/>
      <c r="DE14" s="376"/>
      <c r="DF14" s="376"/>
      <c r="DG14" s="376"/>
      <c r="DH14" s="376"/>
      <c r="DI14" s="376"/>
      <c r="DJ14" s="376"/>
      <c r="DK14" s="376"/>
      <c r="DL14" s="376"/>
      <c r="DM14" s="376"/>
      <c r="DN14" s="376"/>
      <c r="DO14" s="376"/>
      <c r="DP14" s="376"/>
      <c r="DQ14" s="376"/>
      <c r="DR14" s="376"/>
      <c r="DS14" s="376"/>
      <c r="DT14" s="376"/>
      <c r="DU14" s="376"/>
      <c r="DV14" s="376"/>
      <c r="DW14" s="376"/>
      <c r="DX14" s="376"/>
      <c r="DY14" s="376"/>
      <c r="DZ14" s="376"/>
      <c r="EA14" s="376"/>
      <c r="EB14" s="376"/>
      <c r="EC14" s="376"/>
      <c r="ED14" s="376"/>
      <c r="EE14" s="376"/>
      <c r="EF14" s="376"/>
      <c r="EG14" s="376"/>
      <c r="EH14" s="376"/>
      <c r="EI14" s="376"/>
      <c r="EJ14" s="376"/>
      <c r="EK14" s="376"/>
      <c r="EL14" s="376"/>
      <c r="EM14" s="376"/>
      <c r="EN14" s="376"/>
      <c r="EO14" s="376"/>
      <c r="EP14" s="376"/>
      <c r="EQ14" s="376"/>
      <c r="ER14" s="376"/>
      <c r="ES14" s="376"/>
      <c r="ET14" s="376"/>
      <c r="EU14" s="376"/>
      <c r="EV14" s="376"/>
      <c r="EW14" s="376"/>
      <c r="EX14" s="376"/>
      <c r="EY14" s="376"/>
      <c r="EZ14" s="376"/>
      <c r="FA14" s="376"/>
      <c r="FB14" s="376"/>
      <c r="FC14" s="376"/>
      <c r="FD14" s="376"/>
      <c r="FE14" s="376"/>
      <c r="FF14" s="376"/>
      <c r="FG14" s="376"/>
      <c r="FH14" s="376"/>
      <c r="FI14" s="376"/>
      <c r="FJ14" s="376"/>
      <c r="FK14" s="376"/>
      <c r="FL14" s="376"/>
      <c r="FM14" s="376"/>
      <c r="FN14" s="376"/>
      <c r="FO14" s="376"/>
      <c r="FP14" s="376"/>
      <c r="FQ14" s="376"/>
      <c r="FR14" s="376"/>
      <c r="FS14" s="376"/>
      <c r="FT14" s="376"/>
      <c r="FU14" s="376"/>
      <c r="FV14" s="376"/>
      <c r="FW14" s="376"/>
      <c r="FX14" s="376"/>
      <c r="FY14" s="376"/>
      <c r="FZ14" s="376"/>
      <c r="GA14" s="376"/>
      <c r="GB14" s="376"/>
      <c r="GC14" s="376"/>
      <c r="GD14" s="376"/>
      <c r="GE14" s="376"/>
      <c r="GF14" s="376"/>
      <c r="GG14" s="376"/>
      <c r="GH14" s="376"/>
      <c r="GI14" s="376"/>
      <c r="GJ14" s="376"/>
      <c r="GK14" s="376"/>
      <c r="GL14" s="376"/>
      <c r="GM14" s="376"/>
      <c r="GN14" s="376"/>
      <c r="GO14" s="376"/>
      <c r="GP14" s="376"/>
      <c r="GQ14" s="376"/>
      <c r="GR14" s="376"/>
      <c r="GS14" s="376"/>
    </row>
    <row r="15" spans="1:201">
      <c r="A15" s="873"/>
      <c r="B15" s="876"/>
      <c r="C15" s="879"/>
      <c r="D15" s="881"/>
      <c r="E15" s="884"/>
      <c r="F15" s="869">
        <v>0.6</v>
      </c>
      <c r="G15" s="828"/>
      <c r="H15" s="828"/>
      <c r="I15" s="828"/>
      <c r="J15" s="828"/>
      <c r="K15" s="870"/>
      <c r="L15" s="828">
        <v>0.2</v>
      </c>
      <c r="M15" s="828"/>
      <c r="N15" s="828"/>
      <c r="O15" s="828"/>
      <c r="P15" s="828"/>
      <c r="Q15" s="828"/>
      <c r="R15" s="828">
        <v>0.05</v>
      </c>
      <c r="S15" s="828"/>
      <c r="T15" s="828"/>
      <c r="U15" s="828"/>
      <c r="V15" s="828"/>
      <c r="W15" s="828"/>
      <c r="X15" s="828">
        <v>0.05</v>
      </c>
      <c r="Y15" s="828"/>
      <c r="Z15" s="828"/>
      <c r="AA15" s="828"/>
      <c r="AB15" s="828"/>
      <c r="AC15" s="828"/>
      <c r="AD15" s="828">
        <v>0.05</v>
      </c>
      <c r="AE15" s="828"/>
      <c r="AF15" s="828"/>
      <c r="AG15" s="828"/>
      <c r="AH15" s="828"/>
      <c r="AI15" s="828"/>
      <c r="AJ15" s="828">
        <v>0.05</v>
      </c>
      <c r="AK15" s="828"/>
      <c r="AL15" s="828"/>
      <c r="AM15" s="828"/>
      <c r="AN15" s="828"/>
      <c r="AO15" s="829"/>
      <c r="AP15" s="517"/>
      <c r="AQ15" s="376"/>
      <c r="AR15" s="376"/>
      <c r="AS15" s="376"/>
      <c r="AT15" s="376"/>
      <c r="AU15" s="376"/>
      <c r="AV15" s="376"/>
      <c r="AW15" s="376"/>
      <c r="AX15" s="376"/>
      <c r="AY15" s="376"/>
      <c r="AZ15" s="376"/>
      <c r="BA15" s="376"/>
      <c r="BB15" s="376"/>
      <c r="BC15" s="376"/>
      <c r="BD15" s="376"/>
      <c r="BE15" s="376"/>
      <c r="BF15" s="376"/>
      <c r="BG15" s="376"/>
      <c r="BH15" s="376"/>
      <c r="BI15" s="376"/>
      <c r="BJ15" s="376"/>
      <c r="BK15" s="376"/>
      <c r="BL15" s="376"/>
      <c r="BM15" s="376"/>
      <c r="BN15" s="376"/>
      <c r="BO15" s="376"/>
      <c r="BP15" s="376"/>
      <c r="BQ15" s="376"/>
      <c r="BR15" s="376"/>
      <c r="BS15" s="376"/>
      <c r="BT15" s="376"/>
      <c r="BU15" s="376"/>
      <c r="BV15" s="376"/>
      <c r="BW15" s="376"/>
      <c r="BX15" s="376"/>
      <c r="BY15" s="376"/>
      <c r="BZ15" s="376"/>
      <c r="CA15" s="376"/>
      <c r="CB15" s="376"/>
      <c r="CC15" s="376"/>
      <c r="CD15" s="376"/>
      <c r="CE15" s="376"/>
      <c r="CF15" s="376"/>
      <c r="CG15" s="376"/>
      <c r="CH15" s="376"/>
      <c r="CI15" s="376"/>
      <c r="CJ15" s="376"/>
      <c r="CK15" s="376"/>
      <c r="CL15" s="376"/>
      <c r="CM15" s="376"/>
      <c r="CN15" s="376"/>
      <c r="CO15" s="376"/>
      <c r="CP15" s="376"/>
      <c r="CQ15" s="376"/>
      <c r="CR15" s="376"/>
      <c r="CS15" s="376"/>
      <c r="CT15" s="376"/>
      <c r="CU15" s="376"/>
      <c r="CV15" s="376"/>
      <c r="CW15" s="376"/>
      <c r="CX15" s="376"/>
      <c r="CY15" s="376"/>
      <c r="CZ15" s="376"/>
      <c r="DA15" s="376"/>
      <c r="DB15" s="376"/>
      <c r="DC15" s="376"/>
      <c r="DD15" s="376"/>
      <c r="DE15" s="376"/>
      <c r="DF15" s="376"/>
      <c r="DG15" s="376"/>
      <c r="DH15" s="376"/>
      <c r="DI15" s="376"/>
      <c r="DJ15" s="376"/>
      <c r="DK15" s="376"/>
      <c r="DL15" s="376"/>
      <c r="DM15" s="376"/>
      <c r="DN15" s="376"/>
      <c r="DO15" s="376"/>
      <c r="DP15" s="376"/>
      <c r="DQ15" s="376"/>
      <c r="DR15" s="376"/>
      <c r="DS15" s="376"/>
      <c r="DT15" s="376"/>
      <c r="DU15" s="376"/>
      <c r="DV15" s="376"/>
      <c r="DW15" s="376"/>
      <c r="DX15" s="376"/>
      <c r="DY15" s="376"/>
      <c r="DZ15" s="376"/>
      <c r="EA15" s="376"/>
      <c r="EB15" s="376"/>
      <c r="EC15" s="376"/>
      <c r="ED15" s="376"/>
      <c r="EE15" s="376"/>
      <c r="EF15" s="376"/>
      <c r="EG15" s="376"/>
      <c r="EH15" s="376"/>
      <c r="EI15" s="376"/>
      <c r="EJ15" s="376"/>
      <c r="EK15" s="376"/>
      <c r="EL15" s="376"/>
      <c r="EM15" s="376"/>
      <c r="EN15" s="376"/>
      <c r="EO15" s="376"/>
      <c r="EP15" s="376"/>
      <c r="EQ15" s="376"/>
      <c r="ER15" s="376"/>
      <c r="ES15" s="376"/>
      <c r="ET15" s="376"/>
      <c r="EU15" s="376"/>
      <c r="EV15" s="376"/>
      <c r="EW15" s="376"/>
      <c r="EX15" s="376"/>
      <c r="EY15" s="376"/>
      <c r="EZ15" s="376"/>
      <c r="FA15" s="376"/>
      <c r="FB15" s="376"/>
      <c r="FC15" s="376"/>
      <c r="FD15" s="376"/>
      <c r="FE15" s="376"/>
      <c r="FF15" s="376"/>
      <c r="FG15" s="376"/>
      <c r="FH15" s="376"/>
      <c r="FI15" s="376"/>
      <c r="FJ15" s="376"/>
      <c r="FK15" s="376"/>
      <c r="FL15" s="376"/>
      <c r="FM15" s="376"/>
      <c r="FN15" s="376"/>
      <c r="FO15" s="376"/>
      <c r="FP15" s="376"/>
      <c r="FQ15" s="376"/>
      <c r="FR15" s="376"/>
      <c r="FS15" s="376"/>
      <c r="FT15" s="376"/>
      <c r="FU15" s="376"/>
      <c r="FV15" s="376"/>
      <c r="FW15" s="376"/>
      <c r="FX15" s="376"/>
      <c r="FY15" s="376"/>
      <c r="FZ15" s="376"/>
      <c r="GA15" s="376"/>
      <c r="GB15" s="376"/>
      <c r="GC15" s="376"/>
      <c r="GD15" s="376"/>
      <c r="GE15" s="376"/>
      <c r="GF15" s="376"/>
      <c r="GG15" s="376"/>
      <c r="GH15" s="376"/>
      <c r="GI15" s="376"/>
      <c r="GJ15" s="376"/>
      <c r="GK15" s="376"/>
      <c r="GL15" s="376"/>
      <c r="GM15" s="376"/>
      <c r="GN15" s="376"/>
      <c r="GO15" s="376"/>
      <c r="GP15" s="376"/>
      <c r="GQ15" s="376"/>
      <c r="GR15" s="376"/>
      <c r="GS15" s="376"/>
    </row>
    <row r="16" spans="1:201">
      <c r="A16" s="887">
        <f>'PLANILHA ORÇAMENTARIA'!A16</f>
        <v>2</v>
      </c>
      <c r="B16" s="890" t="str">
        <f>'PLANILHA ORÇAMENTARIA'!B16</f>
        <v>INSTALAÇÕES PROVISÓRIAS</v>
      </c>
      <c r="C16" s="893"/>
      <c r="D16" s="815">
        <f>'PLANILHA ORÇAMENTARIA'!F16</f>
        <v>74882.540000000008</v>
      </c>
      <c r="E16" s="818">
        <f>D16/$D$82</f>
        <v>2.1869900729345013E-2</v>
      </c>
      <c r="F16" s="820">
        <f>$D$16*F18</f>
        <v>74882.540000000008</v>
      </c>
      <c r="G16" s="821"/>
      <c r="H16" s="821"/>
      <c r="I16" s="821"/>
      <c r="J16" s="821"/>
      <c r="K16" s="822"/>
      <c r="L16" s="821">
        <f>$D$16*L18</f>
        <v>0</v>
      </c>
      <c r="M16" s="821"/>
      <c r="N16" s="821"/>
      <c r="O16" s="821"/>
      <c r="P16" s="821"/>
      <c r="Q16" s="821"/>
      <c r="R16" s="820">
        <f>$D$16*R18</f>
        <v>0</v>
      </c>
      <c r="S16" s="821"/>
      <c r="T16" s="821"/>
      <c r="U16" s="821"/>
      <c r="V16" s="821"/>
      <c r="W16" s="822"/>
      <c r="X16" s="821">
        <f>$D$16*X18</f>
        <v>0</v>
      </c>
      <c r="Y16" s="821"/>
      <c r="Z16" s="821"/>
      <c r="AA16" s="821"/>
      <c r="AB16" s="821"/>
      <c r="AC16" s="821"/>
      <c r="AD16" s="820">
        <f>$D$16*AD18</f>
        <v>0</v>
      </c>
      <c r="AE16" s="821"/>
      <c r="AF16" s="821"/>
      <c r="AG16" s="821"/>
      <c r="AH16" s="821"/>
      <c r="AI16" s="821"/>
      <c r="AJ16" s="821">
        <f>$D$16*AJ18</f>
        <v>0</v>
      </c>
      <c r="AK16" s="821"/>
      <c r="AL16" s="821"/>
      <c r="AM16" s="821"/>
      <c r="AN16" s="821"/>
      <c r="AO16" s="823"/>
      <c r="AP16" s="520"/>
      <c r="AQ16" s="376"/>
      <c r="AR16" s="376"/>
      <c r="AS16" s="376"/>
      <c r="AT16" s="377"/>
      <c r="AU16" s="377"/>
      <c r="AV16" s="377"/>
      <c r="AW16" s="377"/>
      <c r="AX16" s="377"/>
      <c r="AY16" s="377"/>
      <c r="AZ16" s="377"/>
      <c r="BA16" s="377"/>
      <c r="BB16" s="377"/>
      <c r="BC16" s="377"/>
      <c r="BD16" s="377"/>
      <c r="BE16" s="377"/>
      <c r="BF16" s="377"/>
      <c r="BG16" s="377"/>
      <c r="BH16" s="377"/>
      <c r="BI16" s="377"/>
      <c r="BJ16" s="377"/>
      <c r="BK16" s="377"/>
      <c r="BL16" s="377"/>
      <c r="BM16" s="377"/>
      <c r="BN16" s="377"/>
      <c r="BO16" s="377"/>
      <c r="BP16" s="377"/>
      <c r="BQ16" s="377"/>
      <c r="BR16" s="377"/>
      <c r="BS16" s="377"/>
      <c r="BT16" s="377"/>
      <c r="BU16" s="377"/>
      <c r="BV16" s="377"/>
      <c r="BW16" s="377"/>
      <c r="BX16" s="377"/>
      <c r="BY16" s="377"/>
      <c r="BZ16" s="377"/>
      <c r="CA16" s="377"/>
      <c r="CB16" s="377"/>
      <c r="CC16" s="377"/>
      <c r="CD16" s="377"/>
      <c r="CE16" s="377"/>
      <c r="CF16" s="377"/>
      <c r="CG16" s="377"/>
      <c r="CH16" s="377"/>
      <c r="CI16" s="377"/>
      <c r="CJ16" s="377"/>
      <c r="CK16" s="377"/>
      <c r="CL16" s="377"/>
      <c r="CM16" s="377"/>
      <c r="CN16" s="377"/>
      <c r="CO16" s="377"/>
      <c r="CP16" s="377"/>
      <c r="CQ16" s="377"/>
      <c r="CR16" s="377"/>
      <c r="CS16" s="377"/>
      <c r="CT16" s="377"/>
      <c r="CU16" s="377"/>
      <c r="CV16" s="377"/>
      <c r="CW16" s="377"/>
      <c r="CX16" s="377"/>
      <c r="CY16" s="377"/>
      <c r="CZ16" s="377"/>
      <c r="DA16" s="377"/>
      <c r="DB16" s="377"/>
      <c r="DC16" s="377"/>
      <c r="DD16" s="377"/>
      <c r="DE16" s="377"/>
      <c r="DF16" s="377"/>
      <c r="DG16" s="377"/>
      <c r="DH16" s="377"/>
      <c r="DI16" s="377"/>
      <c r="DJ16" s="377"/>
      <c r="DK16" s="377"/>
      <c r="DL16" s="377"/>
      <c r="DM16" s="377"/>
      <c r="DN16" s="377"/>
      <c r="DO16" s="377"/>
      <c r="DP16" s="377"/>
      <c r="DQ16" s="377"/>
      <c r="DR16" s="377"/>
      <c r="DS16" s="377"/>
      <c r="DT16" s="377"/>
      <c r="DU16" s="377"/>
      <c r="DV16" s="377"/>
      <c r="DW16" s="377"/>
      <c r="DX16" s="377"/>
      <c r="DY16" s="377"/>
      <c r="DZ16" s="377"/>
      <c r="EA16" s="377"/>
      <c r="EB16" s="377"/>
      <c r="EC16" s="377"/>
      <c r="ED16" s="377"/>
      <c r="EE16" s="377"/>
      <c r="EF16" s="377"/>
      <c r="EG16" s="377"/>
      <c r="EH16" s="377"/>
      <c r="EI16" s="377"/>
      <c r="EJ16" s="377"/>
      <c r="EK16" s="377"/>
      <c r="EL16" s="377"/>
      <c r="EM16" s="377"/>
      <c r="EN16" s="377"/>
      <c r="EO16" s="377"/>
      <c r="EP16" s="377"/>
      <c r="EQ16" s="377"/>
      <c r="ER16" s="377"/>
      <c r="ES16" s="377"/>
      <c r="ET16" s="377"/>
      <c r="EU16" s="377"/>
      <c r="EV16" s="377"/>
      <c r="EW16" s="377"/>
      <c r="EX16" s="377"/>
      <c r="EY16" s="377"/>
      <c r="EZ16" s="377"/>
      <c r="FA16" s="377"/>
      <c r="FB16" s="377"/>
      <c r="FC16" s="377"/>
      <c r="FD16" s="377"/>
      <c r="FE16" s="377"/>
      <c r="FF16" s="377"/>
      <c r="FG16" s="377"/>
      <c r="FH16" s="377"/>
      <c r="FI16" s="377"/>
      <c r="FJ16" s="377"/>
      <c r="FK16" s="377"/>
      <c r="FL16" s="377"/>
      <c r="FM16" s="377"/>
      <c r="FN16" s="377"/>
      <c r="FO16" s="377"/>
      <c r="FP16" s="377"/>
      <c r="FQ16" s="377"/>
      <c r="FR16" s="377"/>
      <c r="FS16" s="377"/>
      <c r="FT16" s="377"/>
      <c r="FU16" s="377"/>
      <c r="FV16" s="377"/>
      <c r="FW16" s="377"/>
      <c r="FX16" s="377"/>
      <c r="FY16" s="377"/>
      <c r="FZ16" s="377"/>
      <c r="GA16" s="377"/>
      <c r="GB16" s="377"/>
      <c r="GC16" s="377"/>
      <c r="GD16" s="377"/>
      <c r="GE16" s="377"/>
      <c r="GF16" s="377"/>
      <c r="GG16" s="377"/>
      <c r="GH16" s="377"/>
      <c r="GI16" s="377"/>
      <c r="GJ16" s="377"/>
      <c r="GK16" s="377"/>
      <c r="GL16" s="377"/>
      <c r="GM16" s="377"/>
      <c r="GN16" s="377"/>
      <c r="GO16" s="377"/>
      <c r="GP16" s="377"/>
      <c r="GQ16" s="377"/>
      <c r="GR16" s="377"/>
      <c r="GS16" s="377"/>
    </row>
    <row r="17" spans="1:201" ht="5.0999999999999996" customHeight="1">
      <c r="A17" s="888"/>
      <c r="B17" s="891"/>
      <c r="C17" s="894"/>
      <c r="D17" s="816"/>
      <c r="E17" s="818"/>
      <c r="F17" s="725">
        <v>1</v>
      </c>
      <c r="G17" s="726">
        <v>1</v>
      </c>
      <c r="H17" s="726">
        <v>1</v>
      </c>
      <c r="I17" s="726">
        <v>1</v>
      </c>
      <c r="J17" s="726">
        <v>1</v>
      </c>
      <c r="K17" s="726">
        <v>1</v>
      </c>
      <c r="L17" s="727"/>
      <c r="M17" s="726"/>
      <c r="N17" s="726"/>
      <c r="O17" s="726"/>
      <c r="P17" s="726"/>
      <c r="Q17" s="728"/>
      <c r="R17" s="727"/>
      <c r="S17" s="726"/>
      <c r="T17" s="726"/>
      <c r="U17" s="726"/>
      <c r="V17" s="726"/>
      <c r="W17" s="728"/>
      <c r="X17" s="727"/>
      <c r="Y17" s="726"/>
      <c r="Z17" s="726"/>
      <c r="AA17" s="726"/>
      <c r="AB17" s="726"/>
      <c r="AC17" s="728"/>
      <c r="AD17" s="729"/>
      <c r="AE17" s="730"/>
      <c r="AF17" s="730"/>
      <c r="AG17" s="730"/>
      <c r="AH17" s="730"/>
      <c r="AI17" s="730"/>
      <c r="AJ17" s="731"/>
      <c r="AK17" s="730"/>
      <c r="AL17" s="730"/>
      <c r="AM17" s="730"/>
      <c r="AN17" s="730"/>
      <c r="AO17" s="732"/>
      <c r="AP17" s="517"/>
      <c r="AQ17" s="376"/>
      <c r="AR17" s="376"/>
      <c r="AS17" s="376"/>
      <c r="AT17" s="378"/>
      <c r="AU17" s="378"/>
      <c r="AV17" s="378"/>
      <c r="AW17" s="378"/>
      <c r="AX17" s="378"/>
      <c r="AY17" s="378"/>
      <c r="AZ17" s="378"/>
      <c r="BA17" s="378"/>
      <c r="BB17" s="378"/>
      <c r="BC17" s="378"/>
      <c r="BD17" s="378"/>
      <c r="BE17" s="378"/>
      <c r="BF17" s="378"/>
      <c r="BG17" s="378"/>
      <c r="BH17" s="378"/>
      <c r="BI17" s="378"/>
      <c r="BJ17" s="378"/>
      <c r="BK17" s="378"/>
      <c r="BL17" s="378"/>
      <c r="BM17" s="378"/>
      <c r="BN17" s="378"/>
      <c r="BO17" s="378"/>
      <c r="BP17" s="378"/>
      <c r="BQ17" s="378"/>
      <c r="BR17" s="378"/>
      <c r="BS17" s="378"/>
      <c r="BT17" s="378"/>
      <c r="BU17" s="378"/>
      <c r="BV17" s="378"/>
      <c r="BW17" s="378"/>
      <c r="BX17" s="378"/>
      <c r="BY17" s="378"/>
      <c r="BZ17" s="378"/>
      <c r="CA17" s="378"/>
      <c r="CB17" s="378"/>
      <c r="CC17" s="378"/>
      <c r="CD17" s="378"/>
      <c r="CE17" s="378"/>
      <c r="CF17" s="378"/>
      <c r="CG17" s="378"/>
      <c r="CH17" s="378"/>
      <c r="CI17" s="378"/>
      <c r="CJ17" s="378"/>
      <c r="CK17" s="378"/>
      <c r="CL17" s="378"/>
      <c r="CM17" s="378"/>
      <c r="CN17" s="378"/>
      <c r="CO17" s="378"/>
      <c r="CP17" s="378"/>
      <c r="CQ17" s="378"/>
      <c r="CR17" s="378"/>
      <c r="CS17" s="378"/>
      <c r="CT17" s="378"/>
      <c r="CU17" s="378"/>
      <c r="CV17" s="378"/>
      <c r="CW17" s="378"/>
      <c r="CX17" s="378"/>
      <c r="CY17" s="378"/>
      <c r="CZ17" s="378"/>
      <c r="DA17" s="378"/>
      <c r="DB17" s="378"/>
      <c r="DC17" s="378"/>
      <c r="DD17" s="378"/>
      <c r="DE17" s="378"/>
      <c r="DF17" s="378"/>
      <c r="DG17" s="378"/>
      <c r="DH17" s="378"/>
      <c r="DI17" s="378"/>
      <c r="DJ17" s="378"/>
      <c r="DK17" s="378"/>
      <c r="DL17" s="378"/>
      <c r="DM17" s="378"/>
      <c r="DN17" s="378"/>
      <c r="DO17" s="378"/>
      <c r="DP17" s="378"/>
      <c r="DQ17" s="378"/>
      <c r="DR17" s="378"/>
      <c r="DS17" s="378"/>
      <c r="DT17" s="378"/>
      <c r="DU17" s="378"/>
      <c r="DV17" s="378"/>
      <c r="DW17" s="378"/>
      <c r="DX17" s="378"/>
      <c r="DY17" s="378"/>
      <c r="DZ17" s="378"/>
      <c r="EA17" s="378"/>
      <c r="EB17" s="378"/>
      <c r="EC17" s="378"/>
      <c r="ED17" s="378"/>
      <c r="EE17" s="378"/>
      <c r="EF17" s="378"/>
      <c r="EG17" s="378"/>
      <c r="EH17" s="378"/>
      <c r="EI17" s="378"/>
      <c r="EJ17" s="378"/>
      <c r="EK17" s="378"/>
      <c r="EL17" s="378"/>
      <c r="EM17" s="378"/>
      <c r="EN17" s="378"/>
      <c r="EO17" s="378"/>
      <c r="EP17" s="378"/>
      <c r="EQ17" s="378"/>
      <c r="ER17" s="378"/>
      <c r="ES17" s="378"/>
      <c r="ET17" s="378"/>
      <c r="EU17" s="378"/>
      <c r="EV17" s="378"/>
      <c r="EW17" s="378"/>
      <c r="EX17" s="378"/>
      <c r="EY17" s="378"/>
      <c r="EZ17" s="378"/>
      <c r="FA17" s="378"/>
      <c r="FB17" s="378"/>
      <c r="FC17" s="378"/>
      <c r="FD17" s="378"/>
      <c r="FE17" s="378"/>
      <c r="FF17" s="378"/>
      <c r="FG17" s="378"/>
      <c r="FH17" s="378"/>
      <c r="FI17" s="378"/>
      <c r="FJ17" s="378"/>
      <c r="FK17" s="378"/>
      <c r="FL17" s="378"/>
      <c r="FM17" s="378"/>
      <c r="FN17" s="378"/>
      <c r="FO17" s="378"/>
      <c r="FP17" s="378"/>
      <c r="FQ17" s="378"/>
      <c r="FR17" s="378"/>
      <c r="FS17" s="378"/>
      <c r="FT17" s="378"/>
      <c r="FU17" s="378"/>
      <c r="FV17" s="378"/>
      <c r="FW17" s="378"/>
      <c r="FX17" s="378"/>
      <c r="FY17" s="378"/>
      <c r="FZ17" s="378"/>
      <c r="GA17" s="378"/>
      <c r="GB17" s="378"/>
      <c r="GC17" s="378"/>
      <c r="GD17" s="378"/>
      <c r="GE17" s="378"/>
      <c r="GF17" s="378"/>
      <c r="GG17" s="378"/>
      <c r="GH17" s="378"/>
      <c r="GI17" s="378"/>
      <c r="GJ17" s="378"/>
      <c r="GK17" s="378"/>
      <c r="GL17" s="378"/>
      <c r="GM17" s="378"/>
      <c r="GN17" s="378"/>
      <c r="GO17" s="378"/>
      <c r="GP17" s="378"/>
      <c r="GQ17" s="378"/>
      <c r="GR17" s="378"/>
      <c r="GS17" s="378"/>
    </row>
    <row r="18" spans="1:201">
      <c r="A18" s="889"/>
      <c r="B18" s="892"/>
      <c r="C18" s="814"/>
      <c r="D18" s="817"/>
      <c r="E18" s="819"/>
      <c r="F18" s="824">
        <v>1</v>
      </c>
      <c r="G18" s="825"/>
      <c r="H18" s="825"/>
      <c r="I18" s="825"/>
      <c r="J18" s="825"/>
      <c r="K18" s="826"/>
      <c r="L18" s="825"/>
      <c r="M18" s="825"/>
      <c r="N18" s="825"/>
      <c r="O18" s="825"/>
      <c r="P18" s="825"/>
      <c r="Q18" s="825"/>
      <c r="R18" s="824"/>
      <c r="S18" s="825"/>
      <c r="T18" s="825"/>
      <c r="U18" s="825"/>
      <c r="V18" s="825"/>
      <c r="W18" s="826"/>
      <c r="X18" s="825"/>
      <c r="Y18" s="825"/>
      <c r="Z18" s="825"/>
      <c r="AA18" s="825"/>
      <c r="AB18" s="825"/>
      <c r="AC18" s="825"/>
      <c r="AD18" s="824"/>
      <c r="AE18" s="825"/>
      <c r="AF18" s="825"/>
      <c r="AG18" s="825"/>
      <c r="AH18" s="825"/>
      <c r="AI18" s="825"/>
      <c r="AJ18" s="825"/>
      <c r="AK18" s="825"/>
      <c r="AL18" s="825"/>
      <c r="AM18" s="825"/>
      <c r="AN18" s="825"/>
      <c r="AO18" s="827"/>
      <c r="AP18" s="517"/>
      <c r="AQ18" s="377"/>
      <c r="AR18" s="377"/>
      <c r="AS18" s="377"/>
      <c r="AT18" s="377"/>
      <c r="AU18" s="377"/>
      <c r="AV18" s="377"/>
      <c r="AW18" s="377"/>
      <c r="AX18" s="377"/>
      <c r="AY18" s="377"/>
      <c r="AZ18" s="377"/>
      <c r="BA18" s="377"/>
      <c r="BB18" s="377"/>
      <c r="BC18" s="377"/>
      <c r="BD18" s="377"/>
      <c r="BE18" s="377"/>
      <c r="BF18" s="377"/>
      <c r="BG18" s="377"/>
      <c r="BH18" s="377"/>
      <c r="BI18" s="377"/>
      <c r="BJ18" s="377"/>
      <c r="BK18" s="377"/>
      <c r="BL18" s="377"/>
      <c r="BM18" s="377"/>
      <c r="BN18" s="377"/>
      <c r="BO18" s="377"/>
      <c r="BP18" s="377"/>
      <c r="BQ18" s="377"/>
      <c r="BR18" s="377"/>
      <c r="BS18" s="377"/>
      <c r="BT18" s="377"/>
      <c r="BU18" s="377"/>
      <c r="BV18" s="377"/>
      <c r="BW18" s="377"/>
      <c r="BX18" s="377"/>
      <c r="BY18" s="377"/>
      <c r="BZ18" s="377"/>
      <c r="CA18" s="377"/>
      <c r="CB18" s="377"/>
      <c r="CC18" s="377"/>
      <c r="CD18" s="377"/>
      <c r="CE18" s="377"/>
      <c r="CF18" s="377"/>
      <c r="CG18" s="377"/>
      <c r="CH18" s="377"/>
      <c r="CI18" s="377"/>
      <c r="CJ18" s="377"/>
      <c r="CK18" s="377"/>
      <c r="CL18" s="377"/>
      <c r="CM18" s="377"/>
      <c r="CN18" s="377"/>
      <c r="CO18" s="377"/>
      <c r="CP18" s="377"/>
      <c r="CQ18" s="377"/>
      <c r="CR18" s="377"/>
      <c r="CS18" s="377"/>
      <c r="CT18" s="377"/>
      <c r="CU18" s="377"/>
      <c r="CV18" s="377"/>
      <c r="CW18" s="377"/>
      <c r="CX18" s="377"/>
      <c r="CY18" s="377"/>
      <c r="CZ18" s="377"/>
      <c r="DA18" s="377"/>
      <c r="DB18" s="377"/>
      <c r="DC18" s="377"/>
      <c r="DD18" s="377"/>
      <c r="DE18" s="377"/>
      <c r="DF18" s="377"/>
      <c r="DG18" s="377"/>
      <c r="DH18" s="377"/>
      <c r="DI18" s="377"/>
      <c r="DJ18" s="377"/>
      <c r="DK18" s="377"/>
      <c r="DL18" s="377"/>
      <c r="DM18" s="377"/>
      <c r="DN18" s="377"/>
      <c r="DO18" s="377"/>
      <c r="DP18" s="377"/>
      <c r="DQ18" s="377"/>
      <c r="DR18" s="377"/>
      <c r="DS18" s="377"/>
      <c r="DT18" s="377"/>
      <c r="DU18" s="377"/>
      <c r="DV18" s="377"/>
      <c r="DW18" s="377"/>
      <c r="DX18" s="377"/>
      <c r="DY18" s="377"/>
      <c r="DZ18" s="377"/>
      <c r="EA18" s="377"/>
      <c r="EB18" s="377"/>
      <c r="EC18" s="377"/>
      <c r="ED18" s="377"/>
      <c r="EE18" s="377"/>
      <c r="EF18" s="377"/>
      <c r="EG18" s="377"/>
      <c r="EH18" s="377"/>
      <c r="EI18" s="377"/>
      <c r="EJ18" s="377"/>
      <c r="EK18" s="377"/>
      <c r="EL18" s="377"/>
      <c r="EM18" s="377"/>
      <c r="EN18" s="377"/>
      <c r="EO18" s="377"/>
      <c r="EP18" s="377"/>
      <c r="EQ18" s="377"/>
      <c r="ER18" s="377"/>
      <c r="ES18" s="377"/>
      <c r="ET18" s="377"/>
      <c r="EU18" s="377"/>
      <c r="EV18" s="377"/>
      <c r="EW18" s="377"/>
      <c r="EX18" s="377"/>
      <c r="EY18" s="377"/>
      <c r="EZ18" s="377"/>
      <c r="FA18" s="377"/>
      <c r="FB18" s="377"/>
      <c r="FC18" s="377"/>
      <c r="FD18" s="377"/>
      <c r="FE18" s="377"/>
      <c r="FF18" s="377"/>
      <c r="FG18" s="377"/>
      <c r="FH18" s="377"/>
      <c r="FI18" s="377"/>
      <c r="FJ18" s="377"/>
      <c r="FK18" s="377"/>
      <c r="FL18" s="377"/>
      <c r="FM18" s="377"/>
      <c r="FN18" s="377"/>
      <c r="FO18" s="377"/>
      <c r="FP18" s="377"/>
      <c r="FQ18" s="377"/>
      <c r="FR18" s="377"/>
      <c r="FS18" s="377"/>
      <c r="FT18" s="377"/>
      <c r="FU18" s="377"/>
      <c r="FV18" s="377"/>
      <c r="FW18" s="377"/>
      <c r="FX18" s="377"/>
      <c r="FY18" s="377"/>
      <c r="FZ18" s="377"/>
      <c r="GA18" s="377"/>
      <c r="GB18" s="377"/>
      <c r="GC18" s="377"/>
      <c r="GD18" s="377"/>
      <c r="GE18" s="377"/>
      <c r="GF18" s="377"/>
      <c r="GG18" s="377"/>
      <c r="GH18" s="377"/>
      <c r="GI18" s="377"/>
      <c r="GJ18" s="377"/>
      <c r="GK18" s="377"/>
      <c r="GL18" s="377"/>
      <c r="GM18" s="377"/>
      <c r="GN18" s="377"/>
      <c r="GO18" s="377"/>
      <c r="GP18" s="377"/>
      <c r="GQ18" s="377"/>
      <c r="GR18" s="377"/>
      <c r="GS18" s="377"/>
    </row>
    <row r="19" spans="1:201">
      <c r="A19" s="871">
        <f>'PLANILHA ORÇAMENTARIA'!A24</f>
        <v>3</v>
      </c>
      <c r="B19" s="875" t="str">
        <f>'PLANILHA ORÇAMENTARIA'!B24</f>
        <v>ADMINISTRAÇÃO DA OBRA</v>
      </c>
      <c r="C19" s="899"/>
      <c r="D19" s="880">
        <f>'PLANILHA ORÇAMENTARIA'!F24</f>
        <v>299712.90000000002</v>
      </c>
      <c r="E19" s="883">
        <f>D19/$D$82</f>
        <v>8.7532973244552184E-2</v>
      </c>
      <c r="F19" s="885">
        <f>ROUND($D$19*F21,2)</f>
        <v>49932.17</v>
      </c>
      <c r="G19" s="830"/>
      <c r="H19" s="830"/>
      <c r="I19" s="830"/>
      <c r="J19" s="830"/>
      <c r="K19" s="886"/>
      <c r="L19" s="886">
        <f>$D$19*L21</f>
        <v>49932.169140000005</v>
      </c>
      <c r="M19" s="897"/>
      <c r="N19" s="897"/>
      <c r="O19" s="897"/>
      <c r="P19" s="897"/>
      <c r="Q19" s="885"/>
      <c r="R19" s="886">
        <f>$D$19*R21</f>
        <v>49932.169140000005</v>
      </c>
      <c r="S19" s="897"/>
      <c r="T19" s="897"/>
      <c r="U19" s="897"/>
      <c r="V19" s="897"/>
      <c r="W19" s="885"/>
      <c r="X19" s="886">
        <f>$D$19*X21</f>
        <v>49932.169140000005</v>
      </c>
      <c r="Y19" s="897"/>
      <c r="Z19" s="897"/>
      <c r="AA19" s="897"/>
      <c r="AB19" s="897"/>
      <c r="AC19" s="885"/>
      <c r="AD19" s="830">
        <f>$D$19*AD21</f>
        <v>49932.169140000005</v>
      </c>
      <c r="AE19" s="830"/>
      <c r="AF19" s="830"/>
      <c r="AG19" s="830"/>
      <c r="AH19" s="830"/>
      <c r="AI19" s="830"/>
      <c r="AJ19" s="830">
        <f>$D$19*AJ21</f>
        <v>50052.054300000003</v>
      </c>
      <c r="AK19" s="830"/>
      <c r="AL19" s="830"/>
      <c r="AM19" s="830"/>
      <c r="AN19" s="830"/>
      <c r="AO19" s="831"/>
      <c r="AP19" s="520"/>
      <c r="AQ19" s="378"/>
      <c r="AR19" s="378"/>
      <c r="AS19" s="378"/>
      <c r="AT19" s="377"/>
      <c r="AU19" s="377"/>
      <c r="AV19" s="377"/>
      <c r="AW19" s="377"/>
      <c r="AX19" s="377"/>
      <c r="AY19" s="377"/>
      <c r="AZ19" s="377"/>
      <c r="BA19" s="377"/>
      <c r="BB19" s="377"/>
      <c r="BC19" s="377"/>
      <c r="BD19" s="377"/>
      <c r="BE19" s="377"/>
      <c r="BF19" s="377"/>
      <c r="BG19" s="377"/>
      <c r="BH19" s="377"/>
      <c r="BI19" s="377"/>
      <c r="BJ19" s="377"/>
      <c r="BK19" s="377"/>
      <c r="BL19" s="377"/>
      <c r="BM19" s="377"/>
      <c r="BN19" s="377"/>
      <c r="BO19" s="377"/>
      <c r="BP19" s="377"/>
      <c r="BQ19" s="377"/>
      <c r="BR19" s="377"/>
      <c r="BS19" s="377"/>
      <c r="BT19" s="377"/>
      <c r="BU19" s="377"/>
      <c r="BV19" s="377"/>
      <c r="BW19" s="377"/>
      <c r="BX19" s="377"/>
      <c r="BY19" s="377"/>
      <c r="BZ19" s="377"/>
      <c r="CA19" s="377"/>
      <c r="CB19" s="377"/>
      <c r="CC19" s="377"/>
      <c r="CD19" s="377"/>
      <c r="CE19" s="377"/>
      <c r="CF19" s="377"/>
      <c r="CG19" s="377"/>
      <c r="CH19" s="377"/>
      <c r="CI19" s="377"/>
      <c r="CJ19" s="377"/>
      <c r="CK19" s="377"/>
      <c r="CL19" s="377"/>
      <c r="CM19" s="377"/>
      <c r="CN19" s="377"/>
      <c r="CO19" s="377"/>
      <c r="CP19" s="377"/>
      <c r="CQ19" s="377"/>
      <c r="CR19" s="377"/>
      <c r="CS19" s="377"/>
      <c r="CT19" s="377"/>
      <c r="CU19" s="377"/>
      <c r="CV19" s="377"/>
      <c r="CW19" s="377"/>
      <c r="CX19" s="377"/>
      <c r="CY19" s="377"/>
      <c r="CZ19" s="377"/>
      <c r="DA19" s="377"/>
      <c r="DB19" s="377"/>
      <c r="DC19" s="377"/>
      <c r="DD19" s="377"/>
      <c r="DE19" s="377"/>
      <c r="DF19" s="377"/>
      <c r="DG19" s="377"/>
      <c r="DH19" s="377"/>
      <c r="DI19" s="377"/>
      <c r="DJ19" s="377"/>
      <c r="DK19" s="377"/>
      <c r="DL19" s="377"/>
      <c r="DM19" s="377"/>
      <c r="DN19" s="377"/>
      <c r="DO19" s="377"/>
      <c r="DP19" s="377"/>
      <c r="DQ19" s="377"/>
      <c r="DR19" s="377"/>
      <c r="DS19" s="377"/>
      <c r="DT19" s="377"/>
      <c r="DU19" s="377"/>
      <c r="DV19" s="377"/>
      <c r="DW19" s="377"/>
      <c r="DX19" s="377"/>
      <c r="DY19" s="377"/>
      <c r="DZ19" s="377"/>
      <c r="EA19" s="377"/>
      <c r="EB19" s="377"/>
      <c r="EC19" s="377"/>
      <c r="ED19" s="377"/>
      <c r="EE19" s="377"/>
      <c r="EF19" s="377"/>
      <c r="EG19" s="377"/>
      <c r="EH19" s="377"/>
      <c r="EI19" s="377"/>
      <c r="EJ19" s="377"/>
      <c r="EK19" s="377"/>
      <c r="EL19" s="377"/>
      <c r="EM19" s="377"/>
      <c r="EN19" s="377"/>
      <c r="EO19" s="377"/>
      <c r="EP19" s="377"/>
      <c r="EQ19" s="377"/>
      <c r="ER19" s="377"/>
      <c r="ES19" s="377"/>
      <c r="ET19" s="377"/>
      <c r="EU19" s="377"/>
      <c r="EV19" s="377"/>
      <c r="EW19" s="377"/>
      <c r="EX19" s="377"/>
      <c r="EY19" s="377"/>
      <c r="EZ19" s="377"/>
      <c r="FA19" s="377"/>
      <c r="FB19" s="377"/>
      <c r="FC19" s="377"/>
      <c r="FD19" s="377"/>
      <c r="FE19" s="377"/>
      <c r="FF19" s="377"/>
      <c r="FG19" s="377"/>
      <c r="FH19" s="377"/>
      <c r="FI19" s="377"/>
      <c r="FJ19" s="377"/>
      <c r="FK19" s="377"/>
      <c r="FL19" s="377"/>
      <c r="FM19" s="377"/>
      <c r="FN19" s="377"/>
      <c r="FO19" s="377"/>
      <c r="FP19" s="377"/>
      <c r="FQ19" s="377"/>
      <c r="FR19" s="377"/>
      <c r="FS19" s="377"/>
      <c r="FT19" s="377"/>
      <c r="FU19" s="377"/>
      <c r="FV19" s="377"/>
      <c r="FW19" s="377"/>
      <c r="FX19" s="377"/>
      <c r="FY19" s="377"/>
      <c r="FZ19" s="377"/>
      <c r="GA19" s="377"/>
      <c r="GB19" s="377"/>
      <c r="GC19" s="377"/>
      <c r="GD19" s="377"/>
      <c r="GE19" s="377"/>
      <c r="GF19" s="377"/>
      <c r="GG19" s="377"/>
      <c r="GH19" s="377"/>
      <c r="GI19" s="377"/>
      <c r="GJ19" s="377"/>
      <c r="GK19" s="377"/>
      <c r="GL19" s="377"/>
      <c r="GM19" s="377"/>
      <c r="GN19" s="377"/>
      <c r="GO19" s="377"/>
      <c r="GP19" s="377"/>
      <c r="GQ19" s="377"/>
      <c r="GR19" s="377"/>
      <c r="GS19" s="377"/>
    </row>
    <row r="20" spans="1:201" ht="5.0999999999999996" customHeight="1">
      <c r="A20" s="872"/>
      <c r="B20" s="875"/>
      <c r="C20" s="899"/>
      <c r="D20" s="880"/>
      <c r="E20" s="883"/>
      <c r="F20" s="718">
        <v>1</v>
      </c>
      <c r="G20" s="719">
        <v>1</v>
      </c>
      <c r="H20" s="719">
        <v>1</v>
      </c>
      <c r="I20" s="719">
        <v>1</v>
      </c>
      <c r="J20" s="719">
        <v>1</v>
      </c>
      <c r="K20" s="719">
        <v>1</v>
      </c>
      <c r="L20" s="720">
        <v>1</v>
      </c>
      <c r="M20" s="719">
        <v>1</v>
      </c>
      <c r="N20" s="719">
        <v>1</v>
      </c>
      <c r="O20" s="719">
        <v>1</v>
      </c>
      <c r="P20" s="719">
        <v>1</v>
      </c>
      <c r="Q20" s="721">
        <v>1</v>
      </c>
      <c r="R20" s="718">
        <v>1</v>
      </c>
      <c r="S20" s="719">
        <v>1</v>
      </c>
      <c r="T20" s="719">
        <v>1</v>
      </c>
      <c r="U20" s="719">
        <v>1</v>
      </c>
      <c r="V20" s="719">
        <v>1</v>
      </c>
      <c r="W20" s="719">
        <v>1</v>
      </c>
      <c r="X20" s="720">
        <v>1</v>
      </c>
      <c r="Y20" s="719">
        <v>1</v>
      </c>
      <c r="Z20" s="719">
        <v>1</v>
      </c>
      <c r="AA20" s="719">
        <v>1</v>
      </c>
      <c r="AB20" s="719">
        <v>1</v>
      </c>
      <c r="AC20" s="721">
        <v>1</v>
      </c>
      <c r="AD20" s="733">
        <v>1</v>
      </c>
      <c r="AE20" s="723">
        <v>1</v>
      </c>
      <c r="AF20" s="723">
        <v>1</v>
      </c>
      <c r="AG20" s="723">
        <v>1</v>
      </c>
      <c r="AH20" s="723">
        <v>1</v>
      </c>
      <c r="AI20" s="723">
        <v>1</v>
      </c>
      <c r="AJ20" s="722">
        <v>1</v>
      </c>
      <c r="AK20" s="723">
        <v>1</v>
      </c>
      <c r="AL20" s="723">
        <v>1</v>
      </c>
      <c r="AM20" s="723">
        <v>1</v>
      </c>
      <c r="AN20" s="723">
        <v>1</v>
      </c>
      <c r="AO20" s="724">
        <v>1</v>
      </c>
      <c r="AP20" s="517"/>
      <c r="AQ20" s="377"/>
      <c r="AR20" s="377"/>
      <c r="AS20" s="377"/>
      <c r="AT20" s="377"/>
      <c r="AU20" s="377"/>
      <c r="AV20" s="377"/>
      <c r="AW20" s="377"/>
      <c r="AX20" s="377"/>
      <c r="AY20" s="377"/>
      <c r="AZ20" s="377"/>
      <c r="BA20" s="377"/>
      <c r="BB20" s="377"/>
      <c r="BC20" s="377"/>
      <c r="BD20" s="377"/>
      <c r="BE20" s="377"/>
      <c r="BF20" s="377"/>
      <c r="BG20" s="377"/>
      <c r="BH20" s="377"/>
      <c r="BI20" s="377"/>
      <c r="BJ20" s="377"/>
      <c r="BK20" s="377"/>
      <c r="BL20" s="377"/>
      <c r="BM20" s="377"/>
      <c r="BN20" s="377"/>
      <c r="BO20" s="377"/>
      <c r="BP20" s="377"/>
      <c r="BQ20" s="377"/>
      <c r="BR20" s="377"/>
      <c r="BS20" s="377"/>
      <c r="BT20" s="377"/>
      <c r="BU20" s="377"/>
      <c r="BV20" s="377"/>
      <c r="BW20" s="377"/>
      <c r="BX20" s="377"/>
      <c r="BY20" s="377"/>
      <c r="BZ20" s="377"/>
      <c r="CA20" s="377"/>
      <c r="CB20" s="377"/>
      <c r="CC20" s="377"/>
      <c r="CD20" s="377"/>
      <c r="CE20" s="377"/>
      <c r="CF20" s="377"/>
      <c r="CG20" s="377"/>
      <c r="CH20" s="377"/>
      <c r="CI20" s="377"/>
      <c r="CJ20" s="377"/>
      <c r="CK20" s="377"/>
      <c r="CL20" s="377"/>
      <c r="CM20" s="377"/>
      <c r="CN20" s="377"/>
      <c r="CO20" s="377"/>
      <c r="CP20" s="377"/>
      <c r="CQ20" s="377"/>
      <c r="CR20" s="377"/>
      <c r="CS20" s="377"/>
      <c r="CT20" s="377"/>
      <c r="CU20" s="377"/>
      <c r="CV20" s="377"/>
      <c r="CW20" s="377"/>
      <c r="CX20" s="377"/>
      <c r="CY20" s="377"/>
      <c r="CZ20" s="377"/>
      <c r="DA20" s="377"/>
      <c r="DB20" s="377"/>
      <c r="DC20" s="377"/>
      <c r="DD20" s="377"/>
      <c r="DE20" s="377"/>
      <c r="DF20" s="377"/>
      <c r="DG20" s="377"/>
      <c r="DH20" s="377"/>
      <c r="DI20" s="377"/>
      <c r="DJ20" s="377"/>
      <c r="DK20" s="377"/>
      <c r="DL20" s="377"/>
      <c r="DM20" s="377"/>
      <c r="DN20" s="377"/>
      <c r="DO20" s="377"/>
      <c r="DP20" s="377"/>
      <c r="DQ20" s="377"/>
      <c r="DR20" s="377"/>
      <c r="DS20" s="377"/>
      <c r="DT20" s="377"/>
      <c r="DU20" s="377"/>
      <c r="DV20" s="377"/>
      <c r="DW20" s="377"/>
      <c r="DX20" s="377"/>
      <c r="DY20" s="377"/>
      <c r="DZ20" s="377"/>
      <c r="EA20" s="377"/>
      <c r="EB20" s="377"/>
      <c r="EC20" s="377"/>
      <c r="ED20" s="377"/>
      <c r="EE20" s="377"/>
      <c r="EF20" s="377"/>
      <c r="EG20" s="377"/>
      <c r="EH20" s="377"/>
      <c r="EI20" s="377"/>
      <c r="EJ20" s="377"/>
      <c r="EK20" s="377"/>
      <c r="EL20" s="377"/>
      <c r="EM20" s="377"/>
      <c r="EN20" s="377"/>
      <c r="EO20" s="377"/>
      <c r="EP20" s="377"/>
      <c r="EQ20" s="377"/>
      <c r="ER20" s="377"/>
      <c r="ES20" s="377"/>
      <c r="ET20" s="377"/>
      <c r="EU20" s="377"/>
      <c r="EV20" s="377"/>
      <c r="EW20" s="377"/>
      <c r="EX20" s="377"/>
      <c r="EY20" s="377"/>
      <c r="EZ20" s="377"/>
      <c r="FA20" s="377"/>
      <c r="FB20" s="377"/>
      <c r="FC20" s="377"/>
      <c r="FD20" s="377"/>
      <c r="FE20" s="377"/>
      <c r="FF20" s="377"/>
      <c r="FG20" s="377"/>
      <c r="FH20" s="377"/>
      <c r="FI20" s="377"/>
      <c r="FJ20" s="377"/>
      <c r="FK20" s="377"/>
      <c r="FL20" s="377"/>
      <c r="FM20" s="377"/>
      <c r="FN20" s="377"/>
      <c r="FO20" s="377"/>
      <c r="FP20" s="377"/>
      <c r="FQ20" s="377"/>
      <c r="FR20" s="377"/>
      <c r="FS20" s="377"/>
      <c r="FT20" s="377"/>
      <c r="FU20" s="377"/>
      <c r="FV20" s="377"/>
      <c r="FW20" s="377"/>
      <c r="FX20" s="377"/>
      <c r="FY20" s="377"/>
      <c r="FZ20" s="377"/>
      <c r="GA20" s="377"/>
      <c r="GB20" s="377"/>
      <c r="GC20" s="377"/>
      <c r="GD20" s="377"/>
      <c r="GE20" s="377"/>
      <c r="GF20" s="377"/>
      <c r="GG20" s="377"/>
      <c r="GH20" s="377"/>
      <c r="GI20" s="377"/>
      <c r="GJ20" s="377"/>
      <c r="GK20" s="377"/>
      <c r="GL20" s="377"/>
      <c r="GM20" s="377"/>
      <c r="GN20" s="377"/>
      <c r="GO20" s="377"/>
      <c r="GP20" s="377"/>
      <c r="GQ20" s="377"/>
      <c r="GR20" s="377"/>
      <c r="GS20" s="377"/>
    </row>
    <row r="21" spans="1:201">
      <c r="A21" s="873"/>
      <c r="B21" s="898"/>
      <c r="C21" s="900"/>
      <c r="D21" s="901"/>
      <c r="E21" s="884"/>
      <c r="F21" s="895">
        <v>0.1666</v>
      </c>
      <c r="G21" s="838"/>
      <c r="H21" s="838"/>
      <c r="I21" s="838"/>
      <c r="J21" s="838"/>
      <c r="K21" s="896"/>
      <c r="L21" s="838">
        <v>0.1666</v>
      </c>
      <c r="M21" s="838"/>
      <c r="N21" s="838"/>
      <c r="O21" s="838"/>
      <c r="P21" s="838"/>
      <c r="Q21" s="838"/>
      <c r="R21" s="895">
        <v>0.1666</v>
      </c>
      <c r="S21" s="838"/>
      <c r="T21" s="838"/>
      <c r="U21" s="838"/>
      <c r="V21" s="838"/>
      <c r="W21" s="896"/>
      <c r="X21" s="838">
        <v>0.1666</v>
      </c>
      <c r="Y21" s="838"/>
      <c r="Z21" s="838"/>
      <c r="AA21" s="838"/>
      <c r="AB21" s="838"/>
      <c r="AC21" s="838"/>
      <c r="AD21" s="895">
        <v>0.1666</v>
      </c>
      <c r="AE21" s="838"/>
      <c r="AF21" s="838"/>
      <c r="AG21" s="838"/>
      <c r="AH21" s="838"/>
      <c r="AI21" s="838"/>
      <c r="AJ21" s="838">
        <v>0.16700000000000001</v>
      </c>
      <c r="AK21" s="838"/>
      <c r="AL21" s="838"/>
      <c r="AM21" s="838"/>
      <c r="AN21" s="838"/>
      <c r="AO21" s="839"/>
      <c r="AP21" s="517"/>
      <c r="AQ21" s="377"/>
      <c r="AR21" s="377"/>
      <c r="AS21" s="377"/>
      <c r="AT21" s="377"/>
      <c r="AU21" s="377"/>
      <c r="AV21" s="377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77"/>
      <c r="BK21" s="377"/>
      <c r="BL21" s="377"/>
      <c r="BM21" s="377"/>
      <c r="BN21" s="377"/>
      <c r="BO21" s="377"/>
      <c r="BP21" s="377"/>
      <c r="BQ21" s="377"/>
      <c r="BR21" s="377"/>
      <c r="BS21" s="377"/>
      <c r="BT21" s="377"/>
      <c r="BU21" s="377"/>
      <c r="BV21" s="377"/>
      <c r="BW21" s="377"/>
      <c r="BX21" s="377"/>
      <c r="BY21" s="377"/>
      <c r="BZ21" s="377"/>
      <c r="CA21" s="377"/>
      <c r="CB21" s="377"/>
      <c r="CC21" s="377"/>
      <c r="CD21" s="377"/>
      <c r="CE21" s="377"/>
      <c r="CF21" s="377"/>
      <c r="CG21" s="377"/>
      <c r="CH21" s="377"/>
      <c r="CI21" s="377"/>
      <c r="CJ21" s="377"/>
      <c r="CK21" s="377"/>
      <c r="CL21" s="377"/>
      <c r="CM21" s="377"/>
      <c r="CN21" s="377"/>
      <c r="CO21" s="377"/>
      <c r="CP21" s="377"/>
      <c r="CQ21" s="377"/>
      <c r="CR21" s="377"/>
      <c r="CS21" s="377"/>
      <c r="CT21" s="377"/>
      <c r="CU21" s="377"/>
      <c r="CV21" s="377"/>
      <c r="CW21" s="377"/>
      <c r="CX21" s="377"/>
      <c r="CY21" s="377"/>
      <c r="CZ21" s="377"/>
      <c r="DA21" s="377"/>
      <c r="DB21" s="377"/>
      <c r="DC21" s="377"/>
      <c r="DD21" s="377"/>
      <c r="DE21" s="377"/>
      <c r="DF21" s="377"/>
      <c r="DG21" s="377"/>
      <c r="DH21" s="377"/>
      <c r="DI21" s="377"/>
      <c r="DJ21" s="377"/>
      <c r="DK21" s="377"/>
      <c r="DL21" s="377"/>
      <c r="DM21" s="377"/>
      <c r="DN21" s="377"/>
      <c r="DO21" s="377"/>
      <c r="DP21" s="377"/>
      <c r="DQ21" s="377"/>
      <c r="DR21" s="377"/>
      <c r="DS21" s="377"/>
      <c r="DT21" s="377"/>
      <c r="DU21" s="377"/>
      <c r="DV21" s="377"/>
      <c r="DW21" s="377"/>
      <c r="DX21" s="377"/>
      <c r="DY21" s="377"/>
      <c r="DZ21" s="377"/>
      <c r="EA21" s="377"/>
      <c r="EB21" s="377"/>
      <c r="EC21" s="377"/>
      <c r="ED21" s="377"/>
      <c r="EE21" s="377"/>
      <c r="EF21" s="377"/>
      <c r="EG21" s="377"/>
      <c r="EH21" s="377"/>
      <c r="EI21" s="377"/>
      <c r="EJ21" s="377"/>
      <c r="EK21" s="377"/>
      <c r="EL21" s="377"/>
      <c r="EM21" s="377"/>
      <c r="EN21" s="377"/>
      <c r="EO21" s="377"/>
      <c r="EP21" s="377"/>
      <c r="EQ21" s="377"/>
      <c r="ER21" s="377"/>
      <c r="ES21" s="377"/>
      <c r="ET21" s="377"/>
      <c r="EU21" s="377"/>
      <c r="EV21" s="377"/>
      <c r="EW21" s="377"/>
      <c r="EX21" s="377"/>
      <c r="EY21" s="377"/>
      <c r="EZ21" s="377"/>
      <c r="FA21" s="377"/>
      <c r="FB21" s="377"/>
      <c r="FC21" s="377"/>
      <c r="FD21" s="377"/>
      <c r="FE21" s="377"/>
      <c r="FF21" s="377"/>
      <c r="FG21" s="377"/>
      <c r="FH21" s="377"/>
      <c r="FI21" s="377"/>
      <c r="FJ21" s="377"/>
      <c r="FK21" s="377"/>
      <c r="FL21" s="377"/>
      <c r="FM21" s="377"/>
      <c r="FN21" s="377"/>
      <c r="FO21" s="377"/>
      <c r="FP21" s="377"/>
      <c r="FQ21" s="377"/>
      <c r="FR21" s="377"/>
      <c r="FS21" s="377"/>
      <c r="FT21" s="377"/>
      <c r="FU21" s="377"/>
      <c r="FV21" s="377"/>
      <c r="FW21" s="377"/>
      <c r="FX21" s="377"/>
      <c r="FY21" s="377"/>
      <c r="FZ21" s="377"/>
      <c r="GA21" s="377"/>
      <c r="GB21" s="377"/>
      <c r="GC21" s="377"/>
      <c r="GD21" s="377"/>
      <c r="GE21" s="377"/>
      <c r="GF21" s="377"/>
      <c r="GG21" s="377"/>
      <c r="GH21" s="377"/>
      <c r="GI21" s="377"/>
      <c r="GJ21" s="377"/>
      <c r="GK21" s="377"/>
      <c r="GL21" s="377"/>
      <c r="GM21" s="377"/>
      <c r="GN21" s="377"/>
      <c r="GO21" s="377"/>
      <c r="GP21" s="377"/>
      <c r="GQ21" s="377"/>
      <c r="GR21" s="377"/>
      <c r="GS21" s="377"/>
    </row>
    <row r="22" spans="1:201">
      <c r="A22" s="887">
        <f>'PLANILHA ORÇAMENTARIA'!A35</f>
        <v>4</v>
      </c>
      <c r="B22" s="809" t="str">
        <f>'PLANILHA ORÇAMENTARIA'!B35</f>
        <v>LIMPEZA DA OBRA</v>
      </c>
      <c r="C22" s="812"/>
      <c r="D22" s="815">
        <f>'PLANILHA ORÇAMENTARIA'!F35</f>
        <v>12619.48</v>
      </c>
      <c r="E22" s="818">
        <f>D22/$D$82</f>
        <v>3.6855957991803532E-3</v>
      </c>
      <c r="F22" s="820">
        <f>$D$22*F24</f>
        <v>1514.3375999999998</v>
      </c>
      <c r="G22" s="821"/>
      <c r="H22" s="821"/>
      <c r="I22" s="821"/>
      <c r="J22" s="821"/>
      <c r="K22" s="822"/>
      <c r="L22" s="821">
        <f>$D$22*L24</f>
        <v>1514.3375999999998</v>
      </c>
      <c r="M22" s="821"/>
      <c r="N22" s="821"/>
      <c r="O22" s="821"/>
      <c r="P22" s="821"/>
      <c r="Q22" s="821"/>
      <c r="R22" s="820">
        <f>$D$22*R24</f>
        <v>1514.3375999999998</v>
      </c>
      <c r="S22" s="821"/>
      <c r="T22" s="821"/>
      <c r="U22" s="821"/>
      <c r="V22" s="821"/>
      <c r="W22" s="822"/>
      <c r="X22" s="821">
        <f>$D$22*X24</f>
        <v>1514.3375999999998</v>
      </c>
      <c r="Y22" s="821"/>
      <c r="Z22" s="821"/>
      <c r="AA22" s="821"/>
      <c r="AB22" s="821"/>
      <c r="AC22" s="821"/>
      <c r="AD22" s="820">
        <f>$D$22*AD24</f>
        <v>1514.3375999999998</v>
      </c>
      <c r="AE22" s="821"/>
      <c r="AF22" s="821"/>
      <c r="AG22" s="821"/>
      <c r="AH22" s="821"/>
      <c r="AI22" s="821"/>
      <c r="AJ22" s="821">
        <f>$D$22*AJ24</f>
        <v>5047.7920000000004</v>
      </c>
      <c r="AK22" s="821"/>
      <c r="AL22" s="821"/>
      <c r="AM22" s="821"/>
      <c r="AN22" s="821"/>
      <c r="AO22" s="823"/>
      <c r="AP22" s="520"/>
      <c r="AQ22" s="377"/>
      <c r="AR22" s="377"/>
      <c r="AS22" s="377"/>
      <c r="AT22" s="377"/>
      <c r="AU22" s="377"/>
      <c r="AV22" s="377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77"/>
      <c r="BK22" s="377"/>
      <c r="BL22" s="377"/>
      <c r="BM22" s="377"/>
      <c r="BN22" s="377"/>
      <c r="BO22" s="377"/>
      <c r="BP22" s="377"/>
      <c r="BQ22" s="377"/>
      <c r="BR22" s="377"/>
      <c r="BS22" s="377"/>
      <c r="BT22" s="377"/>
      <c r="BU22" s="377"/>
      <c r="BV22" s="377"/>
      <c r="BW22" s="377"/>
      <c r="BX22" s="377"/>
      <c r="BY22" s="377"/>
      <c r="BZ22" s="377"/>
      <c r="CA22" s="377"/>
      <c r="CB22" s="377"/>
      <c r="CC22" s="377"/>
      <c r="CD22" s="377"/>
      <c r="CE22" s="377"/>
      <c r="CF22" s="377"/>
      <c r="CG22" s="377"/>
      <c r="CH22" s="377"/>
      <c r="CI22" s="377"/>
      <c r="CJ22" s="377"/>
      <c r="CK22" s="377"/>
      <c r="CL22" s="377"/>
      <c r="CM22" s="377"/>
      <c r="CN22" s="377"/>
      <c r="CO22" s="377"/>
      <c r="CP22" s="377"/>
      <c r="CQ22" s="377"/>
      <c r="CR22" s="377"/>
      <c r="CS22" s="377"/>
      <c r="CT22" s="377"/>
      <c r="CU22" s="377"/>
      <c r="CV22" s="377"/>
      <c r="CW22" s="377"/>
      <c r="CX22" s="377"/>
      <c r="CY22" s="377"/>
      <c r="CZ22" s="377"/>
      <c r="DA22" s="377"/>
      <c r="DB22" s="377"/>
      <c r="DC22" s="377"/>
      <c r="DD22" s="377"/>
      <c r="DE22" s="377"/>
      <c r="DF22" s="377"/>
      <c r="DG22" s="377"/>
      <c r="DH22" s="377"/>
      <c r="DI22" s="377"/>
      <c r="DJ22" s="377"/>
      <c r="DK22" s="377"/>
      <c r="DL22" s="377"/>
      <c r="DM22" s="377"/>
      <c r="DN22" s="377"/>
      <c r="DO22" s="377"/>
      <c r="DP22" s="377"/>
      <c r="DQ22" s="377"/>
      <c r="DR22" s="377"/>
      <c r="DS22" s="377"/>
      <c r="DT22" s="377"/>
      <c r="DU22" s="377"/>
      <c r="DV22" s="377"/>
      <c r="DW22" s="377"/>
      <c r="DX22" s="377"/>
      <c r="DY22" s="377"/>
      <c r="DZ22" s="377"/>
      <c r="EA22" s="377"/>
      <c r="EB22" s="377"/>
      <c r="EC22" s="377"/>
      <c r="ED22" s="377"/>
      <c r="EE22" s="377"/>
      <c r="EF22" s="377"/>
      <c r="EG22" s="377"/>
      <c r="EH22" s="377"/>
      <c r="EI22" s="377"/>
      <c r="EJ22" s="377"/>
      <c r="EK22" s="377"/>
      <c r="EL22" s="377"/>
      <c r="EM22" s="377"/>
      <c r="EN22" s="377"/>
      <c r="EO22" s="377"/>
      <c r="EP22" s="377"/>
      <c r="EQ22" s="377"/>
      <c r="ER22" s="377"/>
      <c r="ES22" s="377"/>
      <c r="ET22" s="377"/>
      <c r="EU22" s="377"/>
      <c r="EV22" s="377"/>
      <c r="EW22" s="377"/>
      <c r="EX22" s="377"/>
      <c r="EY22" s="377"/>
      <c r="EZ22" s="377"/>
      <c r="FA22" s="377"/>
      <c r="FB22" s="377"/>
      <c r="FC22" s="377"/>
      <c r="FD22" s="377"/>
      <c r="FE22" s="377"/>
      <c r="FF22" s="377"/>
      <c r="FG22" s="377"/>
      <c r="FH22" s="377"/>
      <c r="FI22" s="377"/>
      <c r="FJ22" s="377"/>
      <c r="FK22" s="377"/>
      <c r="FL22" s="377"/>
      <c r="FM22" s="377"/>
      <c r="FN22" s="377"/>
      <c r="FO22" s="377"/>
      <c r="FP22" s="377"/>
      <c r="FQ22" s="377"/>
      <c r="FR22" s="377"/>
      <c r="FS22" s="377"/>
      <c r="FT22" s="377"/>
      <c r="FU22" s="377"/>
      <c r="FV22" s="377"/>
      <c r="FW22" s="377"/>
      <c r="FX22" s="377"/>
      <c r="FY22" s="377"/>
      <c r="FZ22" s="377"/>
      <c r="GA22" s="377"/>
      <c r="GB22" s="377"/>
      <c r="GC22" s="377"/>
      <c r="GD22" s="377"/>
      <c r="GE22" s="377"/>
      <c r="GF22" s="377"/>
      <c r="GG22" s="377"/>
      <c r="GH22" s="377"/>
      <c r="GI22" s="377"/>
      <c r="GJ22" s="377"/>
      <c r="GK22" s="377"/>
      <c r="GL22" s="377"/>
      <c r="GM22" s="377"/>
      <c r="GN22" s="377"/>
      <c r="GO22" s="377"/>
      <c r="GP22" s="377"/>
      <c r="GQ22" s="377"/>
      <c r="GR22" s="377"/>
      <c r="GS22" s="377"/>
    </row>
    <row r="23" spans="1:201" ht="5.0999999999999996" customHeight="1">
      <c r="A23" s="888"/>
      <c r="B23" s="810"/>
      <c r="C23" s="813"/>
      <c r="D23" s="816"/>
      <c r="E23" s="818"/>
      <c r="F23" s="725">
        <v>1</v>
      </c>
      <c r="G23" s="726">
        <v>1</v>
      </c>
      <c r="H23" s="726">
        <v>1</v>
      </c>
      <c r="I23" s="726">
        <v>1</v>
      </c>
      <c r="J23" s="726">
        <v>1</v>
      </c>
      <c r="K23" s="726">
        <v>1</v>
      </c>
      <c r="L23" s="727">
        <v>1</v>
      </c>
      <c r="M23" s="726">
        <v>1</v>
      </c>
      <c r="N23" s="726">
        <v>1</v>
      </c>
      <c r="O23" s="726">
        <v>1</v>
      </c>
      <c r="P23" s="726">
        <v>1</v>
      </c>
      <c r="Q23" s="728">
        <v>1</v>
      </c>
      <c r="R23" s="725">
        <v>1</v>
      </c>
      <c r="S23" s="726">
        <v>1</v>
      </c>
      <c r="T23" s="726">
        <v>1</v>
      </c>
      <c r="U23" s="726">
        <v>1</v>
      </c>
      <c r="V23" s="726">
        <v>1</v>
      </c>
      <c r="W23" s="726">
        <v>1</v>
      </c>
      <c r="X23" s="727">
        <v>1</v>
      </c>
      <c r="Y23" s="726">
        <v>1</v>
      </c>
      <c r="Z23" s="726">
        <v>1</v>
      </c>
      <c r="AA23" s="726">
        <v>1</v>
      </c>
      <c r="AB23" s="726">
        <v>1</v>
      </c>
      <c r="AC23" s="728">
        <v>1</v>
      </c>
      <c r="AD23" s="729">
        <v>1</v>
      </c>
      <c r="AE23" s="730">
        <v>1</v>
      </c>
      <c r="AF23" s="730">
        <v>1</v>
      </c>
      <c r="AG23" s="730">
        <v>1</v>
      </c>
      <c r="AH23" s="730">
        <v>1</v>
      </c>
      <c r="AI23" s="730">
        <v>1</v>
      </c>
      <c r="AJ23" s="731">
        <v>1</v>
      </c>
      <c r="AK23" s="730">
        <v>1</v>
      </c>
      <c r="AL23" s="730">
        <v>1</v>
      </c>
      <c r="AM23" s="730">
        <v>1</v>
      </c>
      <c r="AN23" s="730">
        <v>1</v>
      </c>
      <c r="AO23" s="732">
        <v>1</v>
      </c>
      <c r="AP23" s="517"/>
      <c r="AQ23" s="377"/>
      <c r="AR23" s="377"/>
      <c r="AS23" s="377"/>
      <c r="AT23" s="377"/>
      <c r="AU23" s="377"/>
      <c r="AV23" s="377"/>
      <c r="AW23" s="377"/>
      <c r="AX23" s="377"/>
      <c r="AY23" s="377"/>
      <c r="AZ23" s="377"/>
      <c r="BA23" s="377"/>
      <c r="BB23" s="377"/>
      <c r="BC23" s="377"/>
      <c r="BD23" s="377"/>
      <c r="BE23" s="377"/>
      <c r="BF23" s="377"/>
      <c r="BG23" s="377"/>
      <c r="BH23" s="377"/>
      <c r="BI23" s="377"/>
      <c r="BJ23" s="377"/>
      <c r="BK23" s="377"/>
      <c r="BL23" s="377"/>
      <c r="BM23" s="377"/>
      <c r="BN23" s="377"/>
      <c r="BO23" s="377"/>
      <c r="BP23" s="377"/>
      <c r="BQ23" s="377"/>
      <c r="BR23" s="377"/>
      <c r="BS23" s="377"/>
      <c r="BT23" s="377"/>
      <c r="BU23" s="377"/>
      <c r="BV23" s="377"/>
      <c r="BW23" s="377"/>
      <c r="BX23" s="377"/>
      <c r="BY23" s="377"/>
      <c r="BZ23" s="377"/>
      <c r="CA23" s="377"/>
      <c r="CB23" s="377"/>
      <c r="CC23" s="377"/>
      <c r="CD23" s="377"/>
      <c r="CE23" s="377"/>
      <c r="CF23" s="377"/>
      <c r="CG23" s="377"/>
      <c r="CH23" s="377"/>
      <c r="CI23" s="377"/>
      <c r="CJ23" s="377"/>
      <c r="CK23" s="377"/>
      <c r="CL23" s="377"/>
      <c r="CM23" s="377"/>
      <c r="CN23" s="377"/>
      <c r="CO23" s="377"/>
      <c r="CP23" s="377"/>
      <c r="CQ23" s="377"/>
      <c r="CR23" s="377"/>
      <c r="CS23" s="377"/>
      <c r="CT23" s="377"/>
      <c r="CU23" s="377"/>
      <c r="CV23" s="377"/>
      <c r="CW23" s="377"/>
      <c r="CX23" s="377"/>
      <c r="CY23" s="377"/>
      <c r="CZ23" s="377"/>
      <c r="DA23" s="377"/>
      <c r="DB23" s="377"/>
      <c r="DC23" s="377"/>
      <c r="DD23" s="377"/>
      <c r="DE23" s="377"/>
      <c r="DF23" s="377"/>
      <c r="DG23" s="377"/>
      <c r="DH23" s="377"/>
      <c r="DI23" s="377"/>
      <c r="DJ23" s="377"/>
      <c r="DK23" s="377"/>
      <c r="DL23" s="377"/>
      <c r="DM23" s="377"/>
      <c r="DN23" s="377"/>
      <c r="DO23" s="377"/>
      <c r="DP23" s="377"/>
      <c r="DQ23" s="377"/>
      <c r="DR23" s="377"/>
      <c r="DS23" s="377"/>
      <c r="DT23" s="377"/>
      <c r="DU23" s="377"/>
      <c r="DV23" s="377"/>
      <c r="DW23" s="377"/>
      <c r="DX23" s="377"/>
      <c r="DY23" s="377"/>
      <c r="DZ23" s="377"/>
      <c r="EA23" s="377"/>
      <c r="EB23" s="377"/>
      <c r="EC23" s="377"/>
      <c r="ED23" s="377"/>
      <c r="EE23" s="377"/>
      <c r="EF23" s="377"/>
      <c r="EG23" s="377"/>
      <c r="EH23" s="377"/>
      <c r="EI23" s="377"/>
      <c r="EJ23" s="377"/>
      <c r="EK23" s="377"/>
      <c r="EL23" s="377"/>
      <c r="EM23" s="377"/>
      <c r="EN23" s="377"/>
      <c r="EO23" s="377"/>
      <c r="EP23" s="377"/>
      <c r="EQ23" s="377"/>
      <c r="ER23" s="377"/>
      <c r="ES23" s="377"/>
      <c r="ET23" s="377"/>
      <c r="EU23" s="377"/>
      <c r="EV23" s="377"/>
      <c r="EW23" s="377"/>
      <c r="EX23" s="377"/>
      <c r="EY23" s="377"/>
      <c r="EZ23" s="377"/>
      <c r="FA23" s="377"/>
      <c r="FB23" s="377"/>
      <c r="FC23" s="377"/>
      <c r="FD23" s="377"/>
      <c r="FE23" s="377"/>
      <c r="FF23" s="377"/>
      <c r="FG23" s="377"/>
      <c r="FH23" s="377"/>
      <c r="FI23" s="377"/>
      <c r="FJ23" s="377"/>
      <c r="FK23" s="377"/>
      <c r="FL23" s="377"/>
      <c r="FM23" s="377"/>
      <c r="FN23" s="377"/>
      <c r="FO23" s="377"/>
      <c r="FP23" s="377"/>
      <c r="FQ23" s="377"/>
      <c r="FR23" s="377"/>
      <c r="FS23" s="377"/>
      <c r="FT23" s="377"/>
      <c r="FU23" s="377"/>
      <c r="FV23" s="377"/>
      <c r="FW23" s="377"/>
      <c r="FX23" s="377"/>
      <c r="FY23" s="377"/>
      <c r="FZ23" s="377"/>
      <c r="GA23" s="377"/>
      <c r="GB23" s="377"/>
      <c r="GC23" s="377"/>
      <c r="GD23" s="377"/>
      <c r="GE23" s="377"/>
      <c r="GF23" s="377"/>
      <c r="GG23" s="377"/>
      <c r="GH23" s="377"/>
      <c r="GI23" s="377"/>
      <c r="GJ23" s="377"/>
      <c r="GK23" s="377"/>
      <c r="GL23" s="377"/>
      <c r="GM23" s="377"/>
      <c r="GN23" s="377"/>
      <c r="GO23" s="377"/>
      <c r="GP23" s="377"/>
      <c r="GQ23" s="377"/>
      <c r="GR23" s="377"/>
      <c r="GS23" s="377"/>
    </row>
    <row r="24" spans="1:201">
      <c r="A24" s="889"/>
      <c r="B24" s="811"/>
      <c r="C24" s="814"/>
      <c r="D24" s="817"/>
      <c r="E24" s="819"/>
      <c r="F24" s="902">
        <v>0.12</v>
      </c>
      <c r="G24" s="840"/>
      <c r="H24" s="840"/>
      <c r="I24" s="840"/>
      <c r="J24" s="840"/>
      <c r="K24" s="903"/>
      <c r="L24" s="840">
        <v>0.12</v>
      </c>
      <c r="M24" s="840"/>
      <c r="N24" s="840"/>
      <c r="O24" s="840"/>
      <c r="P24" s="840"/>
      <c r="Q24" s="840"/>
      <c r="R24" s="902">
        <v>0.12</v>
      </c>
      <c r="S24" s="840"/>
      <c r="T24" s="840"/>
      <c r="U24" s="840"/>
      <c r="V24" s="840"/>
      <c r="W24" s="903"/>
      <c r="X24" s="840">
        <v>0.12</v>
      </c>
      <c r="Y24" s="840"/>
      <c r="Z24" s="840"/>
      <c r="AA24" s="840"/>
      <c r="AB24" s="840"/>
      <c r="AC24" s="840"/>
      <c r="AD24" s="902">
        <v>0.12</v>
      </c>
      <c r="AE24" s="840"/>
      <c r="AF24" s="840"/>
      <c r="AG24" s="840"/>
      <c r="AH24" s="840"/>
      <c r="AI24" s="840"/>
      <c r="AJ24" s="840">
        <v>0.4</v>
      </c>
      <c r="AK24" s="840"/>
      <c r="AL24" s="840"/>
      <c r="AM24" s="840"/>
      <c r="AN24" s="840"/>
      <c r="AO24" s="841"/>
      <c r="AP24" s="517"/>
      <c r="AQ24" s="377"/>
      <c r="AR24" s="377"/>
      <c r="AS24" s="377"/>
      <c r="AT24" s="377"/>
      <c r="AU24" s="377"/>
      <c r="AV24" s="377"/>
      <c r="AW24" s="377"/>
      <c r="AX24" s="377"/>
      <c r="AY24" s="377"/>
      <c r="AZ24" s="377"/>
      <c r="BA24" s="377"/>
      <c r="BB24" s="377"/>
      <c r="BC24" s="377"/>
      <c r="BD24" s="377"/>
      <c r="BE24" s="377"/>
      <c r="BF24" s="377"/>
      <c r="BG24" s="377"/>
      <c r="BH24" s="377"/>
      <c r="BI24" s="377"/>
      <c r="BJ24" s="377"/>
      <c r="BK24" s="377"/>
      <c r="BL24" s="377"/>
      <c r="BM24" s="377"/>
      <c r="BN24" s="377"/>
      <c r="BO24" s="377"/>
      <c r="BP24" s="377"/>
      <c r="BQ24" s="377"/>
      <c r="BR24" s="377"/>
      <c r="BS24" s="377"/>
      <c r="BT24" s="377"/>
      <c r="BU24" s="377"/>
      <c r="BV24" s="377"/>
      <c r="BW24" s="377"/>
      <c r="BX24" s="377"/>
      <c r="BY24" s="377"/>
      <c r="BZ24" s="377"/>
      <c r="CA24" s="377"/>
      <c r="CB24" s="377"/>
      <c r="CC24" s="377"/>
      <c r="CD24" s="377"/>
      <c r="CE24" s="377"/>
      <c r="CF24" s="377"/>
      <c r="CG24" s="377"/>
      <c r="CH24" s="377"/>
      <c r="CI24" s="377"/>
      <c r="CJ24" s="377"/>
      <c r="CK24" s="377"/>
      <c r="CL24" s="377"/>
      <c r="CM24" s="377"/>
      <c r="CN24" s="377"/>
      <c r="CO24" s="377"/>
      <c r="CP24" s="377"/>
      <c r="CQ24" s="377"/>
      <c r="CR24" s="377"/>
      <c r="CS24" s="377"/>
      <c r="CT24" s="377"/>
      <c r="CU24" s="377"/>
      <c r="CV24" s="377"/>
      <c r="CW24" s="377"/>
      <c r="CX24" s="377"/>
      <c r="CY24" s="377"/>
      <c r="CZ24" s="377"/>
      <c r="DA24" s="377"/>
      <c r="DB24" s="377"/>
      <c r="DC24" s="377"/>
      <c r="DD24" s="377"/>
      <c r="DE24" s="377"/>
      <c r="DF24" s="377"/>
      <c r="DG24" s="377"/>
      <c r="DH24" s="377"/>
      <c r="DI24" s="377"/>
      <c r="DJ24" s="377"/>
      <c r="DK24" s="377"/>
      <c r="DL24" s="377"/>
      <c r="DM24" s="377"/>
      <c r="DN24" s="377"/>
      <c r="DO24" s="377"/>
      <c r="DP24" s="377"/>
      <c r="DQ24" s="377"/>
      <c r="DR24" s="377"/>
      <c r="DS24" s="377"/>
      <c r="DT24" s="377"/>
      <c r="DU24" s="377"/>
      <c r="DV24" s="377"/>
      <c r="DW24" s="377"/>
      <c r="DX24" s="377"/>
      <c r="DY24" s="377"/>
      <c r="DZ24" s="377"/>
      <c r="EA24" s="377"/>
      <c r="EB24" s="377"/>
      <c r="EC24" s="377"/>
      <c r="ED24" s="377"/>
      <c r="EE24" s="377"/>
      <c r="EF24" s="377"/>
      <c r="EG24" s="377"/>
      <c r="EH24" s="377"/>
      <c r="EI24" s="377"/>
      <c r="EJ24" s="377"/>
      <c r="EK24" s="377"/>
      <c r="EL24" s="377"/>
      <c r="EM24" s="377"/>
      <c r="EN24" s="377"/>
      <c r="EO24" s="377"/>
      <c r="EP24" s="377"/>
      <c r="EQ24" s="377"/>
      <c r="ER24" s="377"/>
      <c r="ES24" s="377"/>
      <c r="ET24" s="377"/>
      <c r="EU24" s="377"/>
      <c r="EV24" s="377"/>
      <c r="EW24" s="377"/>
      <c r="EX24" s="377"/>
      <c r="EY24" s="377"/>
      <c r="EZ24" s="377"/>
      <c r="FA24" s="377"/>
      <c r="FB24" s="377"/>
      <c r="FC24" s="377"/>
      <c r="FD24" s="377"/>
      <c r="FE24" s="377"/>
      <c r="FF24" s="377"/>
      <c r="FG24" s="377"/>
      <c r="FH24" s="377"/>
      <c r="FI24" s="377"/>
      <c r="FJ24" s="377"/>
      <c r="FK24" s="377"/>
      <c r="FL24" s="377"/>
      <c r="FM24" s="377"/>
      <c r="FN24" s="377"/>
      <c r="FO24" s="377"/>
      <c r="FP24" s="377"/>
      <c r="FQ24" s="377"/>
      <c r="FR24" s="377"/>
      <c r="FS24" s="377"/>
      <c r="FT24" s="377"/>
      <c r="FU24" s="377"/>
      <c r="FV24" s="377"/>
      <c r="FW24" s="377"/>
      <c r="FX24" s="377"/>
      <c r="FY24" s="377"/>
      <c r="FZ24" s="377"/>
      <c r="GA24" s="377"/>
      <c r="GB24" s="377"/>
      <c r="GC24" s="377"/>
      <c r="GD24" s="377"/>
      <c r="GE24" s="377"/>
      <c r="GF24" s="377"/>
      <c r="GG24" s="377"/>
      <c r="GH24" s="377"/>
      <c r="GI24" s="377"/>
      <c r="GJ24" s="377"/>
      <c r="GK24" s="377"/>
      <c r="GL24" s="377"/>
      <c r="GM24" s="377"/>
      <c r="GN24" s="377"/>
      <c r="GO24" s="377"/>
      <c r="GP24" s="377"/>
      <c r="GQ24" s="377"/>
      <c r="GR24" s="377"/>
      <c r="GS24" s="377"/>
    </row>
    <row r="25" spans="1:201">
      <c r="A25" s="871">
        <f>'PLANILHA ORÇAMENTARIA'!A39</f>
        <v>5</v>
      </c>
      <c r="B25" s="904" t="str">
        <f>'PLANILHA ORÇAMENTARIA'!B39</f>
        <v>TRANSPORTE</v>
      </c>
      <c r="C25" s="907"/>
      <c r="D25" s="909">
        <f>'PLANILHA ORÇAMENTARIA'!F39</f>
        <v>139082.81</v>
      </c>
      <c r="E25" s="883">
        <f>D25/$D$82</f>
        <v>4.0619979608842775E-2</v>
      </c>
      <c r="F25" s="885">
        <f>$D$25*F27</f>
        <v>83449.686000000002</v>
      </c>
      <c r="G25" s="830"/>
      <c r="H25" s="830"/>
      <c r="I25" s="830"/>
      <c r="J25" s="830"/>
      <c r="K25" s="886"/>
      <c r="L25" s="830">
        <f>$D$25*L27</f>
        <v>0</v>
      </c>
      <c r="M25" s="830"/>
      <c r="N25" s="830"/>
      <c r="O25" s="830"/>
      <c r="P25" s="830"/>
      <c r="Q25" s="830"/>
      <c r="R25" s="885">
        <f>$D$25*R27</f>
        <v>27816.562000000002</v>
      </c>
      <c r="S25" s="830"/>
      <c r="T25" s="830"/>
      <c r="U25" s="830"/>
      <c r="V25" s="830"/>
      <c r="W25" s="886"/>
      <c r="X25" s="830">
        <f>$D$25*X27</f>
        <v>27816.562000000002</v>
      </c>
      <c r="Y25" s="830"/>
      <c r="Z25" s="830"/>
      <c r="AA25" s="830"/>
      <c r="AB25" s="830"/>
      <c r="AC25" s="830"/>
      <c r="AD25" s="885"/>
      <c r="AE25" s="830"/>
      <c r="AF25" s="830"/>
      <c r="AG25" s="830"/>
      <c r="AH25" s="830"/>
      <c r="AI25" s="830"/>
      <c r="AJ25" s="830"/>
      <c r="AK25" s="830"/>
      <c r="AL25" s="830"/>
      <c r="AM25" s="830"/>
      <c r="AN25" s="830"/>
      <c r="AO25" s="831"/>
      <c r="AP25" s="520"/>
      <c r="AQ25" s="377"/>
      <c r="AR25" s="377"/>
      <c r="AS25" s="377"/>
      <c r="AT25" s="377"/>
      <c r="AU25" s="377"/>
      <c r="AV25" s="377"/>
      <c r="AW25" s="377"/>
      <c r="AX25" s="377"/>
      <c r="AY25" s="377"/>
      <c r="AZ25" s="377"/>
      <c r="BA25" s="377"/>
      <c r="BB25" s="377"/>
      <c r="BC25" s="377"/>
      <c r="BD25" s="377"/>
      <c r="BE25" s="377"/>
      <c r="BF25" s="377"/>
      <c r="BG25" s="377"/>
      <c r="BH25" s="377"/>
      <c r="BI25" s="377"/>
      <c r="BJ25" s="377"/>
      <c r="BK25" s="377"/>
      <c r="BL25" s="377"/>
      <c r="BM25" s="377"/>
      <c r="BN25" s="377"/>
      <c r="BO25" s="377"/>
      <c r="BP25" s="377"/>
      <c r="BQ25" s="377"/>
      <c r="BR25" s="377"/>
      <c r="BS25" s="377"/>
      <c r="BT25" s="377"/>
      <c r="BU25" s="377"/>
      <c r="BV25" s="377"/>
      <c r="BW25" s="377"/>
      <c r="BX25" s="377"/>
      <c r="BY25" s="377"/>
      <c r="BZ25" s="377"/>
      <c r="CA25" s="377"/>
      <c r="CB25" s="377"/>
      <c r="CC25" s="377"/>
      <c r="CD25" s="377"/>
      <c r="CE25" s="377"/>
      <c r="CF25" s="377"/>
      <c r="CG25" s="377"/>
      <c r="CH25" s="377"/>
      <c r="CI25" s="377"/>
      <c r="CJ25" s="377"/>
      <c r="CK25" s="377"/>
      <c r="CL25" s="377"/>
      <c r="CM25" s="377"/>
      <c r="CN25" s="377"/>
      <c r="CO25" s="377"/>
      <c r="CP25" s="377"/>
      <c r="CQ25" s="377"/>
      <c r="CR25" s="377"/>
      <c r="CS25" s="377"/>
      <c r="CT25" s="377"/>
      <c r="CU25" s="377"/>
      <c r="CV25" s="377"/>
      <c r="CW25" s="377"/>
      <c r="CX25" s="377"/>
      <c r="CY25" s="377"/>
      <c r="CZ25" s="377"/>
      <c r="DA25" s="377"/>
      <c r="DB25" s="377"/>
      <c r="DC25" s="377"/>
      <c r="DD25" s="377"/>
      <c r="DE25" s="377"/>
      <c r="DF25" s="377"/>
      <c r="DG25" s="377"/>
      <c r="DH25" s="377"/>
      <c r="DI25" s="377"/>
      <c r="DJ25" s="377"/>
      <c r="DK25" s="377"/>
      <c r="DL25" s="377"/>
      <c r="DM25" s="377"/>
      <c r="DN25" s="377"/>
      <c r="DO25" s="377"/>
      <c r="DP25" s="377"/>
      <c r="DQ25" s="377"/>
      <c r="DR25" s="377"/>
      <c r="DS25" s="377"/>
      <c r="DT25" s="377"/>
      <c r="DU25" s="377"/>
      <c r="DV25" s="377"/>
      <c r="DW25" s="377"/>
      <c r="DX25" s="377"/>
      <c r="DY25" s="377"/>
      <c r="DZ25" s="377"/>
      <c r="EA25" s="377"/>
      <c r="EB25" s="377"/>
      <c r="EC25" s="377"/>
      <c r="ED25" s="377"/>
      <c r="EE25" s="377"/>
      <c r="EF25" s="377"/>
      <c r="EG25" s="377"/>
      <c r="EH25" s="377"/>
      <c r="EI25" s="377"/>
      <c r="EJ25" s="377"/>
      <c r="EK25" s="377"/>
      <c r="EL25" s="377"/>
      <c r="EM25" s="377"/>
      <c r="EN25" s="377"/>
      <c r="EO25" s="377"/>
      <c r="EP25" s="377"/>
      <c r="EQ25" s="377"/>
      <c r="ER25" s="377"/>
      <c r="ES25" s="377"/>
      <c r="ET25" s="377"/>
      <c r="EU25" s="377"/>
      <c r="EV25" s="377"/>
      <c r="EW25" s="377"/>
      <c r="EX25" s="377"/>
      <c r="EY25" s="377"/>
      <c r="EZ25" s="377"/>
      <c r="FA25" s="377"/>
      <c r="FB25" s="377"/>
      <c r="FC25" s="377"/>
      <c r="FD25" s="377"/>
      <c r="FE25" s="377"/>
      <c r="FF25" s="377"/>
      <c r="FG25" s="377"/>
      <c r="FH25" s="377"/>
      <c r="FI25" s="377"/>
      <c r="FJ25" s="377"/>
      <c r="FK25" s="377"/>
      <c r="FL25" s="377"/>
      <c r="FM25" s="377"/>
      <c r="FN25" s="377"/>
      <c r="FO25" s="377"/>
      <c r="FP25" s="377"/>
      <c r="FQ25" s="377"/>
      <c r="FR25" s="377"/>
      <c r="FS25" s="377"/>
      <c r="FT25" s="377"/>
      <c r="FU25" s="377"/>
      <c r="FV25" s="377"/>
      <c r="FW25" s="377"/>
      <c r="FX25" s="377"/>
      <c r="FY25" s="377"/>
      <c r="FZ25" s="377"/>
      <c r="GA25" s="377"/>
      <c r="GB25" s="377"/>
      <c r="GC25" s="377"/>
      <c r="GD25" s="377"/>
      <c r="GE25" s="377"/>
      <c r="GF25" s="377"/>
      <c r="GG25" s="377"/>
      <c r="GH25" s="377"/>
      <c r="GI25" s="377"/>
      <c r="GJ25" s="377"/>
      <c r="GK25" s="377"/>
      <c r="GL25" s="377"/>
      <c r="GM25" s="377"/>
      <c r="GN25" s="377"/>
      <c r="GO25" s="377"/>
      <c r="GP25" s="377"/>
      <c r="GQ25" s="377"/>
      <c r="GR25" s="377"/>
      <c r="GS25" s="377"/>
    </row>
    <row r="26" spans="1:201" ht="5.0999999999999996" customHeight="1">
      <c r="A26" s="872"/>
      <c r="B26" s="905"/>
      <c r="C26" s="899"/>
      <c r="D26" s="880"/>
      <c r="E26" s="883"/>
      <c r="F26" s="718">
        <v>1</v>
      </c>
      <c r="G26" s="719">
        <v>1</v>
      </c>
      <c r="H26" s="719">
        <v>1</v>
      </c>
      <c r="I26" s="719">
        <v>1</v>
      </c>
      <c r="J26" s="719">
        <v>1</v>
      </c>
      <c r="K26" s="719">
        <v>1</v>
      </c>
      <c r="L26" s="720"/>
      <c r="M26" s="719"/>
      <c r="N26" s="719"/>
      <c r="O26" s="719"/>
      <c r="P26" s="719"/>
      <c r="Q26" s="721"/>
      <c r="R26" s="718">
        <v>1</v>
      </c>
      <c r="S26" s="719">
        <v>1</v>
      </c>
      <c r="T26" s="719">
        <v>1</v>
      </c>
      <c r="U26" s="719">
        <v>1</v>
      </c>
      <c r="V26" s="719">
        <v>1</v>
      </c>
      <c r="W26" s="719">
        <v>1</v>
      </c>
      <c r="X26" s="720">
        <v>1</v>
      </c>
      <c r="Y26" s="719">
        <v>1</v>
      </c>
      <c r="Z26" s="719">
        <v>1</v>
      </c>
      <c r="AA26" s="719">
        <v>1</v>
      </c>
      <c r="AB26" s="719">
        <v>1</v>
      </c>
      <c r="AC26" s="721">
        <v>1</v>
      </c>
      <c r="AD26" s="733"/>
      <c r="AE26" s="723"/>
      <c r="AF26" s="723"/>
      <c r="AG26" s="723"/>
      <c r="AH26" s="723"/>
      <c r="AI26" s="723"/>
      <c r="AJ26" s="722"/>
      <c r="AK26" s="723"/>
      <c r="AL26" s="723"/>
      <c r="AM26" s="723"/>
      <c r="AN26" s="723"/>
      <c r="AO26" s="724"/>
      <c r="AP26" s="517"/>
      <c r="AQ26" s="377"/>
      <c r="AR26" s="377"/>
      <c r="AS26" s="377"/>
      <c r="AT26" s="377"/>
      <c r="AU26" s="377"/>
      <c r="AV26" s="377"/>
      <c r="AW26" s="377"/>
      <c r="AX26" s="377"/>
      <c r="AY26" s="377"/>
      <c r="AZ26" s="377"/>
      <c r="BA26" s="377"/>
      <c r="BB26" s="377"/>
      <c r="BC26" s="377"/>
      <c r="BD26" s="377"/>
      <c r="BE26" s="377"/>
      <c r="BF26" s="377"/>
      <c r="BG26" s="377"/>
      <c r="BH26" s="377"/>
      <c r="BI26" s="377"/>
      <c r="BJ26" s="377"/>
      <c r="BK26" s="377"/>
      <c r="BL26" s="377"/>
      <c r="BM26" s="377"/>
      <c r="BN26" s="377"/>
      <c r="BO26" s="377"/>
      <c r="BP26" s="377"/>
      <c r="BQ26" s="377"/>
      <c r="BR26" s="377"/>
      <c r="BS26" s="377"/>
      <c r="BT26" s="377"/>
      <c r="BU26" s="377"/>
      <c r="BV26" s="377"/>
      <c r="BW26" s="377"/>
      <c r="BX26" s="377"/>
      <c r="BY26" s="377"/>
      <c r="BZ26" s="377"/>
      <c r="CA26" s="377"/>
      <c r="CB26" s="377"/>
      <c r="CC26" s="377"/>
      <c r="CD26" s="377"/>
      <c r="CE26" s="377"/>
      <c r="CF26" s="377"/>
      <c r="CG26" s="377"/>
      <c r="CH26" s="377"/>
      <c r="CI26" s="377"/>
      <c r="CJ26" s="377"/>
      <c r="CK26" s="377"/>
      <c r="CL26" s="377"/>
      <c r="CM26" s="377"/>
      <c r="CN26" s="377"/>
      <c r="CO26" s="377"/>
      <c r="CP26" s="377"/>
      <c r="CQ26" s="377"/>
      <c r="CR26" s="377"/>
      <c r="CS26" s="377"/>
      <c r="CT26" s="377"/>
      <c r="CU26" s="377"/>
      <c r="CV26" s="377"/>
      <c r="CW26" s="377"/>
      <c r="CX26" s="377"/>
      <c r="CY26" s="377"/>
      <c r="CZ26" s="377"/>
      <c r="DA26" s="377"/>
      <c r="DB26" s="377"/>
      <c r="DC26" s="377"/>
      <c r="DD26" s="377"/>
      <c r="DE26" s="377"/>
      <c r="DF26" s="377"/>
      <c r="DG26" s="377"/>
      <c r="DH26" s="377"/>
      <c r="DI26" s="377"/>
      <c r="DJ26" s="377"/>
      <c r="DK26" s="377"/>
      <c r="DL26" s="377"/>
      <c r="DM26" s="377"/>
      <c r="DN26" s="377"/>
      <c r="DO26" s="377"/>
      <c r="DP26" s="377"/>
      <c r="DQ26" s="377"/>
      <c r="DR26" s="377"/>
      <c r="DS26" s="377"/>
      <c r="DT26" s="377"/>
      <c r="DU26" s="377"/>
      <c r="DV26" s="377"/>
      <c r="DW26" s="377"/>
      <c r="DX26" s="377"/>
      <c r="DY26" s="377"/>
      <c r="DZ26" s="377"/>
      <c r="EA26" s="377"/>
      <c r="EB26" s="377"/>
      <c r="EC26" s="377"/>
      <c r="ED26" s="377"/>
      <c r="EE26" s="377"/>
      <c r="EF26" s="377"/>
      <c r="EG26" s="377"/>
      <c r="EH26" s="377"/>
      <c r="EI26" s="377"/>
      <c r="EJ26" s="377"/>
      <c r="EK26" s="377"/>
      <c r="EL26" s="377"/>
      <c r="EM26" s="377"/>
      <c r="EN26" s="377"/>
      <c r="EO26" s="377"/>
      <c r="EP26" s="377"/>
      <c r="EQ26" s="377"/>
      <c r="ER26" s="377"/>
      <c r="ES26" s="377"/>
      <c r="ET26" s="377"/>
      <c r="EU26" s="377"/>
      <c r="EV26" s="377"/>
      <c r="EW26" s="377"/>
      <c r="EX26" s="377"/>
      <c r="EY26" s="377"/>
      <c r="EZ26" s="377"/>
      <c r="FA26" s="377"/>
      <c r="FB26" s="377"/>
      <c r="FC26" s="377"/>
      <c r="FD26" s="377"/>
      <c r="FE26" s="377"/>
      <c r="FF26" s="377"/>
      <c r="FG26" s="377"/>
      <c r="FH26" s="377"/>
      <c r="FI26" s="377"/>
      <c r="FJ26" s="377"/>
      <c r="FK26" s="377"/>
      <c r="FL26" s="377"/>
      <c r="FM26" s="377"/>
      <c r="FN26" s="377"/>
      <c r="FO26" s="377"/>
      <c r="FP26" s="377"/>
      <c r="FQ26" s="377"/>
      <c r="FR26" s="377"/>
      <c r="FS26" s="377"/>
      <c r="FT26" s="377"/>
      <c r="FU26" s="377"/>
      <c r="FV26" s="377"/>
      <c r="FW26" s="377"/>
      <c r="FX26" s="377"/>
      <c r="FY26" s="377"/>
      <c r="FZ26" s="377"/>
      <c r="GA26" s="377"/>
      <c r="GB26" s="377"/>
      <c r="GC26" s="377"/>
      <c r="GD26" s="377"/>
      <c r="GE26" s="377"/>
      <c r="GF26" s="377"/>
      <c r="GG26" s="377"/>
      <c r="GH26" s="377"/>
      <c r="GI26" s="377"/>
      <c r="GJ26" s="377"/>
      <c r="GK26" s="377"/>
      <c r="GL26" s="377"/>
      <c r="GM26" s="377"/>
      <c r="GN26" s="377"/>
      <c r="GO26" s="377"/>
      <c r="GP26" s="377"/>
      <c r="GQ26" s="377"/>
      <c r="GR26" s="377"/>
      <c r="GS26" s="377"/>
    </row>
    <row r="27" spans="1:201">
      <c r="A27" s="873"/>
      <c r="B27" s="906"/>
      <c r="C27" s="908"/>
      <c r="D27" s="910"/>
      <c r="E27" s="884"/>
      <c r="F27" s="869">
        <v>0.6</v>
      </c>
      <c r="G27" s="828"/>
      <c r="H27" s="828"/>
      <c r="I27" s="828"/>
      <c r="J27" s="828"/>
      <c r="K27" s="870"/>
      <c r="L27" s="828"/>
      <c r="M27" s="828"/>
      <c r="N27" s="828"/>
      <c r="O27" s="828"/>
      <c r="P27" s="828"/>
      <c r="Q27" s="828"/>
      <c r="R27" s="869">
        <v>0.2</v>
      </c>
      <c r="S27" s="828"/>
      <c r="T27" s="828"/>
      <c r="U27" s="828"/>
      <c r="V27" s="828"/>
      <c r="W27" s="870"/>
      <c r="X27" s="828">
        <v>0.2</v>
      </c>
      <c r="Y27" s="828"/>
      <c r="Z27" s="828"/>
      <c r="AA27" s="828"/>
      <c r="AB27" s="828"/>
      <c r="AC27" s="828"/>
      <c r="AD27" s="869"/>
      <c r="AE27" s="828"/>
      <c r="AF27" s="828"/>
      <c r="AG27" s="828"/>
      <c r="AH27" s="828"/>
      <c r="AI27" s="828"/>
      <c r="AJ27" s="828"/>
      <c r="AK27" s="828"/>
      <c r="AL27" s="828"/>
      <c r="AM27" s="828"/>
      <c r="AN27" s="828"/>
      <c r="AO27" s="829"/>
      <c r="AP27" s="517"/>
      <c r="AQ27" s="377"/>
      <c r="AR27" s="377"/>
      <c r="AS27" s="377"/>
      <c r="AT27" s="377"/>
      <c r="AU27" s="377"/>
      <c r="AV27" s="377"/>
      <c r="AW27" s="377"/>
      <c r="AX27" s="377"/>
      <c r="AY27" s="377"/>
      <c r="AZ27" s="377"/>
      <c r="BA27" s="377"/>
      <c r="BB27" s="377"/>
      <c r="BC27" s="377"/>
      <c r="BD27" s="377"/>
      <c r="BE27" s="377"/>
      <c r="BF27" s="377"/>
      <c r="BG27" s="377"/>
      <c r="BH27" s="377"/>
      <c r="BI27" s="377"/>
      <c r="BJ27" s="377"/>
      <c r="BK27" s="377"/>
      <c r="BL27" s="377"/>
      <c r="BM27" s="377"/>
      <c r="BN27" s="377"/>
      <c r="BO27" s="377"/>
      <c r="BP27" s="377"/>
      <c r="BQ27" s="377"/>
      <c r="BR27" s="377"/>
      <c r="BS27" s="377"/>
      <c r="BT27" s="377"/>
      <c r="BU27" s="377"/>
      <c r="BV27" s="377"/>
      <c r="BW27" s="377"/>
      <c r="BX27" s="377"/>
      <c r="BY27" s="377"/>
      <c r="BZ27" s="377"/>
      <c r="CA27" s="377"/>
      <c r="CB27" s="377"/>
      <c r="CC27" s="377"/>
      <c r="CD27" s="377"/>
      <c r="CE27" s="377"/>
      <c r="CF27" s="377"/>
      <c r="CG27" s="377"/>
      <c r="CH27" s="377"/>
      <c r="CI27" s="377"/>
      <c r="CJ27" s="377"/>
      <c r="CK27" s="377"/>
      <c r="CL27" s="377"/>
      <c r="CM27" s="377"/>
      <c r="CN27" s="377"/>
      <c r="CO27" s="377"/>
      <c r="CP27" s="377"/>
      <c r="CQ27" s="377"/>
      <c r="CR27" s="377"/>
      <c r="CS27" s="377"/>
      <c r="CT27" s="377"/>
      <c r="CU27" s="377"/>
      <c r="CV27" s="377"/>
      <c r="CW27" s="377"/>
      <c r="CX27" s="377"/>
      <c r="CY27" s="377"/>
      <c r="CZ27" s="377"/>
      <c r="DA27" s="377"/>
      <c r="DB27" s="377"/>
      <c r="DC27" s="377"/>
      <c r="DD27" s="377"/>
      <c r="DE27" s="377"/>
      <c r="DF27" s="377"/>
      <c r="DG27" s="377"/>
      <c r="DH27" s="377"/>
      <c r="DI27" s="377"/>
      <c r="DJ27" s="377"/>
      <c r="DK27" s="377"/>
      <c r="DL27" s="377"/>
      <c r="DM27" s="377"/>
      <c r="DN27" s="377"/>
      <c r="DO27" s="377"/>
      <c r="DP27" s="377"/>
      <c r="DQ27" s="377"/>
      <c r="DR27" s="377"/>
      <c r="DS27" s="377"/>
      <c r="DT27" s="377"/>
      <c r="DU27" s="377"/>
      <c r="DV27" s="377"/>
      <c r="DW27" s="377"/>
      <c r="DX27" s="377"/>
      <c r="DY27" s="377"/>
      <c r="DZ27" s="377"/>
      <c r="EA27" s="377"/>
      <c r="EB27" s="377"/>
      <c r="EC27" s="377"/>
      <c r="ED27" s="377"/>
      <c r="EE27" s="377"/>
      <c r="EF27" s="377"/>
      <c r="EG27" s="377"/>
      <c r="EH27" s="377"/>
      <c r="EI27" s="377"/>
      <c r="EJ27" s="377"/>
      <c r="EK27" s="377"/>
      <c r="EL27" s="377"/>
      <c r="EM27" s="377"/>
      <c r="EN27" s="377"/>
      <c r="EO27" s="377"/>
      <c r="EP27" s="377"/>
      <c r="EQ27" s="377"/>
      <c r="ER27" s="377"/>
      <c r="ES27" s="377"/>
      <c r="ET27" s="377"/>
      <c r="EU27" s="377"/>
      <c r="EV27" s="377"/>
      <c r="EW27" s="377"/>
      <c r="EX27" s="377"/>
      <c r="EY27" s="377"/>
      <c r="EZ27" s="377"/>
      <c r="FA27" s="377"/>
      <c r="FB27" s="377"/>
      <c r="FC27" s="377"/>
      <c r="FD27" s="377"/>
      <c r="FE27" s="377"/>
      <c r="FF27" s="377"/>
      <c r="FG27" s="377"/>
      <c r="FH27" s="377"/>
      <c r="FI27" s="377"/>
      <c r="FJ27" s="377"/>
      <c r="FK27" s="377"/>
      <c r="FL27" s="377"/>
      <c r="FM27" s="377"/>
      <c r="FN27" s="377"/>
      <c r="FO27" s="377"/>
      <c r="FP27" s="377"/>
      <c r="FQ27" s="377"/>
      <c r="FR27" s="377"/>
      <c r="FS27" s="377"/>
      <c r="FT27" s="377"/>
      <c r="FU27" s="377"/>
      <c r="FV27" s="377"/>
      <c r="FW27" s="377"/>
      <c r="FX27" s="377"/>
      <c r="FY27" s="377"/>
      <c r="FZ27" s="377"/>
      <c r="GA27" s="377"/>
      <c r="GB27" s="377"/>
      <c r="GC27" s="377"/>
      <c r="GD27" s="377"/>
      <c r="GE27" s="377"/>
      <c r="GF27" s="377"/>
      <c r="GG27" s="377"/>
      <c r="GH27" s="377"/>
      <c r="GI27" s="377"/>
      <c r="GJ27" s="377"/>
      <c r="GK27" s="377"/>
      <c r="GL27" s="377"/>
      <c r="GM27" s="377"/>
      <c r="GN27" s="377"/>
      <c r="GO27" s="377"/>
      <c r="GP27" s="377"/>
      <c r="GQ27" s="377"/>
      <c r="GR27" s="377"/>
      <c r="GS27" s="377"/>
    </row>
    <row r="28" spans="1:201">
      <c r="A28" s="806">
        <f>'PLANILHA ORÇAMENTARIA'!A44</f>
        <v>6</v>
      </c>
      <c r="B28" s="809" t="str">
        <f>'PLANILHA ORÇAMENTARIA'!B44</f>
        <v>MOVIMENTO DE TERRA</v>
      </c>
      <c r="C28" s="812"/>
      <c r="D28" s="815">
        <f>'PLANILHA ORÇAMENTARIA'!F44</f>
        <v>81427.51999999999</v>
      </c>
      <c r="E28" s="818">
        <f>D28/$D$82</f>
        <v>2.3781401900052471E-2</v>
      </c>
      <c r="F28" s="820">
        <f>$D$28*F30</f>
        <v>81427.51999999999</v>
      </c>
      <c r="G28" s="821"/>
      <c r="H28" s="821"/>
      <c r="I28" s="821"/>
      <c r="J28" s="821"/>
      <c r="K28" s="822"/>
      <c r="L28" s="821">
        <f>$D$28*L30</f>
        <v>0</v>
      </c>
      <c r="M28" s="821"/>
      <c r="N28" s="821"/>
      <c r="O28" s="821"/>
      <c r="P28" s="821"/>
      <c r="Q28" s="821"/>
      <c r="R28" s="820">
        <f>$D$28*R30</f>
        <v>0</v>
      </c>
      <c r="S28" s="821"/>
      <c r="T28" s="821"/>
      <c r="U28" s="821"/>
      <c r="V28" s="821"/>
      <c r="W28" s="822"/>
      <c r="X28" s="821">
        <f>$D$28*X30</f>
        <v>0</v>
      </c>
      <c r="Y28" s="821"/>
      <c r="Z28" s="821"/>
      <c r="AA28" s="821"/>
      <c r="AB28" s="821"/>
      <c r="AC28" s="821"/>
      <c r="AD28" s="820">
        <f>$D$28*AD30</f>
        <v>0</v>
      </c>
      <c r="AE28" s="821"/>
      <c r="AF28" s="821"/>
      <c r="AG28" s="821"/>
      <c r="AH28" s="821"/>
      <c r="AI28" s="821"/>
      <c r="AJ28" s="821">
        <f>$D$28*AJ30</f>
        <v>0</v>
      </c>
      <c r="AK28" s="821"/>
      <c r="AL28" s="821"/>
      <c r="AM28" s="821"/>
      <c r="AN28" s="821"/>
      <c r="AO28" s="823"/>
      <c r="AP28" s="520"/>
      <c r="AQ28" s="377"/>
      <c r="AR28" s="377"/>
      <c r="AS28" s="377"/>
      <c r="AT28" s="377"/>
      <c r="AU28" s="377"/>
      <c r="AV28" s="377"/>
      <c r="AW28" s="377"/>
      <c r="AX28" s="377"/>
      <c r="AY28" s="377"/>
      <c r="AZ28" s="377"/>
      <c r="BA28" s="377"/>
      <c r="BB28" s="377"/>
      <c r="BC28" s="377"/>
      <c r="BD28" s="377"/>
      <c r="BE28" s="377"/>
      <c r="BF28" s="377"/>
      <c r="BG28" s="377"/>
      <c r="BH28" s="377"/>
      <c r="BI28" s="377"/>
      <c r="BJ28" s="377"/>
      <c r="BK28" s="377"/>
      <c r="BL28" s="377"/>
      <c r="BM28" s="377"/>
      <c r="BN28" s="377"/>
      <c r="BO28" s="377"/>
      <c r="BP28" s="377"/>
      <c r="BQ28" s="377"/>
      <c r="BR28" s="377"/>
      <c r="BS28" s="377"/>
      <c r="BT28" s="377"/>
      <c r="BU28" s="377"/>
      <c r="BV28" s="377"/>
      <c r="BW28" s="377"/>
      <c r="BX28" s="377"/>
      <c r="BY28" s="377"/>
      <c r="BZ28" s="377"/>
      <c r="CA28" s="377"/>
      <c r="CB28" s="377"/>
      <c r="CC28" s="377"/>
      <c r="CD28" s="377"/>
      <c r="CE28" s="377"/>
      <c r="CF28" s="377"/>
      <c r="CG28" s="377"/>
      <c r="CH28" s="377"/>
      <c r="CI28" s="377"/>
      <c r="CJ28" s="377"/>
      <c r="CK28" s="377"/>
      <c r="CL28" s="377"/>
      <c r="CM28" s="377"/>
      <c r="CN28" s="377"/>
      <c r="CO28" s="377"/>
      <c r="CP28" s="377"/>
      <c r="CQ28" s="377"/>
      <c r="CR28" s="377"/>
      <c r="CS28" s="377"/>
      <c r="CT28" s="377"/>
      <c r="CU28" s="377"/>
      <c r="CV28" s="377"/>
      <c r="CW28" s="377"/>
      <c r="CX28" s="377"/>
      <c r="CY28" s="377"/>
      <c r="CZ28" s="377"/>
      <c r="DA28" s="377"/>
      <c r="DB28" s="377"/>
      <c r="DC28" s="377"/>
      <c r="DD28" s="377"/>
      <c r="DE28" s="377"/>
      <c r="DF28" s="377"/>
      <c r="DG28" s="377"/>
      <c r="DH28" s="377"/>
      <c r="DI28" s="377"/>
      <c r="DJ28" s="377"/>
      <c r="DK28" s="377"/>
      <c r="DL28" s="377"/>
      <c r="DM28" s="377"/>
      <c r="DN28" s="377"/>
      <c r="DO28" s="377"/>
      <c r="DP28" s="377"/>
      <c r="DQ28" s="377"/>
      <c r="DR28" s="377"/>
      <c r="DS28" s="377"/>
      <c r="DT28" s="377"/>
      <c r="DU28" s="377"/>
      <c r="DV28" s="377"/>
      <c r="DW28" s="377"/>
      <c r="DX28" s="377"/>
      <c r="DY28" s="377"/>
      <c r="DZ28" s="377"/>
      <c r="EA28" s="377"/>
      <c r="EB28" s="377"/>
      <c r="EC28" s="377"/>
      <c r="ED28" s="377"/>
      <c r="EE28" s="377"/>
      <c r="EF28" s="377"/>
      <c r="EG28" s="377"/>
      <c r="EH28" s="377"/>
      <c r="EI28" s="377"/>
      <c r="EJ28" s="377"/>
      <c r="EK28" s="377"/>
      <c r="EL28" s="377"/>
      <c r="EM28" s="377"/>
      <c r="EN28" s="377"/>
      <c r="EO28" s="377"/>
      <c r="EP28" s="377"/>
      <c r="EQ28" s="377"/>
      <c r="ER28" s="377"/>
      <c r="ES28" s="377"/>
      <c r="ET28" s="377"/>
      <c r="EU28" s="377"/>
      <c r="EV28" s="377"/>
      <c r="EW28" s="377"/>
      <c r="EX28" s="377"/>
      <c r="EY28" s="377"/>
      <c r="EZ28" s="377"/>
      <c r="FA28" s="377"/>
      <c r="FB28" s="377"/>
      <c r="FC28" s="377"/>
      <c r="FD28" s="377"/>
      <c r="FE28" s="377"/>
      <c r="FF28" s="377"/>
      <c r="FG28" s="377"/>
      <c r="FH28" s="377"/>
      <c r="FI28" s="377"/>
      <c r="FJ28" s="377"/>
      <c r="FK28" s="377"/>
      <c r="FL28" s="377"/>
      <c r="FM28" s="377"/>
      <c r="FN28" s="377"/>
      <c r="FO28" s="377"/>
      <c r="FP28" s="377"/>
      <c r="FQ28" s="377"/>
      <c r="FR28" s="377"/>
      <c r="FS28" s="377"/>
      <c r="FT28" s="377"/>
      <c r="FU28" s="377"/>
      <c r="FV28" s="377"/>
      <c r="FW28" s="377"/>
      <c r="FX28" s="377"/>
      <c r="FY28" s="377"/>
      <c r="FZ28" s="377"/>
      <c r="GA28" s="377"/>
      <c r="GB28" s="377"/>
      <c r="GC28" s="377"/>
      <c r="GD28" s="377"/>
      <c r="GE28" s="377"/>
      <c r="GF28" s="377"/>
      <c r="GG28" s="377"/>
      <c r="GH28" s="377"/>
      <c r="GI28" s="377"/>
      <c r="GJ28" s="377"/>
      <c r="GK28" s="377"/>
      <c r="GL28" s="377"/>
      <c r="GM28" s="377"/>
      <c r="GN28" s="377"/>
      <c r="GO28" s="377"/>
      <c r="GP28" s="377"/>
      <c r="GQ28" s="377"/>
      <c r="GR28" s="377"/>
      <c r="GS28" s="377"/>
    </row>
    <row r="29" spans="1:201" ht="5.0999999999999996" customHeight="1">
      <c r="A29" s="807"/>
      <c r="B29" s="810"/>
      <c r="C29" s="813"/>
      <c r="D29" s="816"/>
      <c r="E29" s="818"/>
      <c r="F29" s="725">
        <v>1</v>
      </c>
      <c r="G29" s="726">
        <v>1</v>
      </c>
      <c r="H29" s="726">
        <v>1</v>
      </c>
      <c r="I29" s="726">
        <v>1</v>
      </c>
      <c r="J29" s="726">
        <v>1</v>
      </c>
      <c r="K29" s="726">
        <v>1</v>
      </c>
      <c r="L29" s="727"/>
      <c r="M29" s="726"/>
      <c r="N29" s="726"/>
      <c r="O29" s="726"/>
      <c r="P29" s="726"/>
      <c r="Q29" s="728"/>
      <c r="R29" s="725"/>
      <c r="S29" s="726"/>
      <c r="T29" s="726"/>
      <c r="U29" s="726"/>
      <c r="V29" s="726"/>
      <c r="W29" s="726"/>
      <c r="X29" s="727"/>
      <c r="Y29" s="726"/>
      <c r="Z29" s="726"/>
      <c r="AA29" s="726"/>
      <c r="AB29" s="726"/>
      <c r="AC29" s="728"/>
      <c r="AD29" s="729"/>
      <c r="AE29" s="730"/>
      <c r="AF29" s="730"/>
      <c r="AG29" s="730"/>
      <c r="AH29" s="730"/>
      <c r="AI29" s="730"/>
      <c r="AJ29" s="731"/>
      <c r="AK29" s="730"/>
      <c r="AL29" s="730"/>
      <c r="AM29" s="730"/>
      <c r="AN29" s="730"/>
      <c r="AO29" s="732"/>
      <c r="AP29" s="517"/>
      <c r="AQ29" s="377"/>
      <c r="AR29" s="377"/>
      <c r="AS29" s="377"/>
      <c r="AT29" s="377"/>
      <c r="AU29" s="377"/>
      <c r="AV29" s="377"/>
      <c r="AW29" s="377"/>
      <c r="AX29" s="377"/>
      <c r="AY29" s="377"/>
      <c r="AZ29" s="377"/>
      <c r="BA29" s="377"/>
      <c r="BB29" s="377"/>
      <c r="BC29" s="377"/>
      <c r="BD29" s="377"/>
      <c r="BE29" s="377"/>
      <c r="BF29" s="377"/>
      <c r="BG29" s="377"/>
      <c r="BH29" s="377"/>
      <c r="BI29" s="377"/>
      <c r="BJ29" s="377"/>
      <c r="BK29" s="377"/>
      <c r="BL29" s="377"/>
      <c r="BM29" s="377"/>
      <c r="BN29" s="377"/>
      <c r="BO29" s="377"/>
      <c r="BP29" s="377"/>
      <c r="BQ29" s="377"/>
      <c r="BR29" s="377"/>
      <c r="BS29" s="377"/>
      <c r="BT29" s="377"/>
      <c r="BU29" s="377"/>
      <c r="BV29" s="377"/>
      <c r="BW29" s="377"/>
      <c r="BX29" s="377"/>
      <c r="BY29" s="377"/>
      <c r="BZ29" s="377"/>
      <c r="CA29" s="377"/>
      <c r="CB29" s="377"/>
      <c r="CC29" s="377"/>
      <c r="CD29" s="377"/>
      <c r="CE29" s="377"/>
      <c r="CF29" s="377"/>
      <c r="CG29" s="377"/>
      <c r="CH29" s="377"/>
      <c r="CI29" s="377"/>
      <c r="CJ29" s="377"/>
      <c r="CK29" s="377"/>
      <c r="CL29" s="377"/>
      <c r="CM29" s="377"/>
      <c r="CN29" s="377"/>
      <c r="CO29" s="377"/>
      <c r="CP29" s="377"/>
      <c r="CQ29" s="377"/>
      <c r="CR29" s="377"/>
      <c r="CS29" s="377"/>
      <c r="CT29" s="377"/>
      <c r="CU29" s="377"/>
      <c r="CV29" s="377"/>
      <c r="CW29" s="377"/>
      <c r="CX29" s="377"/>
      <c r="CY29" s="377"/>
      <c r="CZ29" s="377"/>
      <c r="DA29" s="377"/>
      <c r="DB29" s="377"/>
      <c r="DC29" s="377"/>
      <c r="DD29" s="377"/>
      <c r="DE29" s="377"/>
      <c r="DF29" s="377"/>
      <c r="DG29" s="377"/>
      <c r="DH29" s="377"/>
      <c r="DI29" s="377"/>
      <c r="DJ29" s="377"/>
      <c r="DK29" s="377"/>
      <c r="DL29" s="377"/>
      <c r="DM29" s="377"/>
      <c r="DN29" s="377"/>
      <c r="DO29" s="377"/>
      <c r="DP29" s="377"/>
      <c r="DQ29" s="377"/>
      <c r="DR29" s="377"/>
      <c r="DS29" s="377"/>
      <c r="DT29" s="377"/>
      <c r="DU29" s="377"/>
      <c r="DV29" s="377"/>
      <c r="DW29" s="377"/>
      <c r="DX29" s="377"/>
      <c r="DY29" s="377"/>
      <c r="DZ29" s="377"/>
      <c r="EA29" s="377"/>
      <c r="EB29" s="377"/>
      <c r="EC29" s="377"/>
      <c r="ED29" s="377"/>
      <c r="EE29" s="377"/>
      <c r="EF29" s="377"/>
      <c r="EG29" s="377"/>
      <c r="EH29" s="377"/>
      <c r="EI29" s="377"/>
      <c r="EJ29" s="377"/>
      <c r="EK29" s="377"/>
      <c r="EL29" s="377"/>
      <c r="EM29" s="377"/>
      <c r="EN29" s="377"/>
      <c r="EO29" s="377"/>
      <c r="EP29" s="377"/>
      <c r="EQ29" s="377"/>
      <c r="ER29" s="377"/>
      <c r="ES29" s="377"/>
      <c r="ET29" s="377"/>
      <c r="EU29" s="377"/>
      <c r="EV29" s="377"/>
      <c r="EW29" s="377"/>
      <c r="EX29" s="377"/>
      <c r="EY29" s="377"/>
      <c r="EZ29" s="377"/>
      <c r="FA29" s="377"/>
      <c r="FB29" s="377"/>
      <c r="FC29" s="377"/>
      <c r="FD29" s="377"/>
      <c r="FE29" s="377"/>
      <c r="FF29" s="377"/>
      <c r="FG29" s="377"/>
      <c r="FH29" s="377"/>
      <c r="FI29" s="377"/>
      <c r="FJ29" s="377"/>
      <c r="FK29" s="377"/>
      <c r="FL29" s="377"/>
      <c r="FM29" s="377"/>
      <c r="FN29" s="377"/>
      <c r="FO29" s="377"/>
      <c r="FP29" s="377"/>
      <c r="FQ29" s="377"/>
      <c r="FR29" s="377"/>
      <c r="FS29" s="377"/>
      <c r="FT29" s="377"/>
      <c r="FU29" s="377"/>
      <c r="FV29" s="377"/>
      <c r="FW29" s="377"/>
      <c r="FX29" s="377"/>
      <c r="FY29" s="377"/>
      <c r="FZ29" s="377"/>
      <c r="GA29" s="377"/>
      <c r="GB29" s="377"/>
      <c r="GC29" s="377"/>
      <c r="GD29" s="377"/>
      <c r="GE29" s="377"/>
      <c r="GF29" s="377"/>
      <c r="GG29" s="377"/>
      <c r="GH29" s="377"/>
      <c r="GI29" s="377"/>
      <c r="GJ29" s="377"/>
      <c r="GK29" s="377"/>
      <c r="GL29" s="377"/>
      <c r="GM29" s="377"/>
      <c r="GN29" s="377"/>
      <c r="GO29" s="377"/>
      <c r="GP29" s="377"/>
      <c r="GQ29" s="377"/>
      <c r="GR29" s="377"/>
      <c r="GS29" s="377"/>
    </row>
    <row r="30" spans="1:201">
      <c r="A30" s="808"/>
      <c r="B30" s="811"/>
      <c r="C30" s="814"/>
      <c r="D30" s="817"/>
      <c r="E30" s="819"/>
      <c r="F30" s="824">
        <v>1</v>
      </c>
      <c r="G30" s="825"/>
      <c r="H30" s="825"/>
      <c r="I30" s="825"/>
      <c r="J30" s="825"/>
      <c r="K30" s="826"/>
      <c r="L30" s="825">
        <v>0</v>
      </c>
      <c r="M30" s="825"/>
      <c r="N30" s="825"/>
      <c r="O30" s="825"/>
      <c r="P30" s="825"/>
      <c r="Q30" s="825"/>
      <c r="R30" s="824"/>
      <c r="S30" s="825"/>
      <c r="T30" s="825"/>
      <c r="U30" s="825"/>
      <c r="V30" s="825"/>
      <c r="W30" s="826"/>
      <c r="X30" s="825"/>
      <c r="Y30" s="825"/>
      <c r="Z30" s="825"/>
      <c r="AA30" s="825"/>
      <c r="AB30" s="825"/>
      <c r="AC30" s="825"/>
      <c r="AD30" s="824"/>
      <c r="AE30" s="825"/>
      <c r="AF30" s="825"/>
      <c r="AG30" s="825"/>
      <c r="AH30" s="825"/>
      <c r="AI30" s="825"/>
      <c r="AJ30" s="825"/>
      <c r="AK30" s="825"/>
      <c r="AL30" s="825"/>
      <c r="AM30" s="825"/>
      <c r="AN30" s="825"/>
      <c r="AO30" s="827"/>
      <c r="AP30" s="517"/>
      <c r="AQ30" s="377"/>
      <c r="AR30" s="377"/>
      <c r="AS30" s="377"/>
      <c r="AT30" s="377"/>
      <c r="AU30" s="377"/>
      <c r="AV30" s="377"/>
      <c r="AW30" s="377"/>
      <c r="AX30" s="377"/>
      <c r="AY30" s="377"/>
      <c r="AZ30" s="377"/>
      <c r="BA30" s="377"/>
      <c r="BB30" s="377"/>
      <c r="BC30" s="377"/>
      <c r="BD30" s="377"/>
      <c r="BE30" s="377"/>
      <c r="BF30" s="377"/>
      <c r="BG30" s="377"/>
      <c r="BH30" s="377"/>
      <c r="BI30" s="377"/>
      <c r="BJ30" s="377"/>
      <c r="BK30" s="377"/>
      <c r="BL30" s="377"/>
      <c r="BM30" s="377"/>
      <c r="BN30" s="377"/>
      <c r="BO30" s="377"/>
      <c r="BP30" s="377"/>
      <c r="BQ30" s="377"/>
      <c r="BR30" s="377"/>
      <c r="BS30" s="377"/>
      <c r="BT30" s="377"/>
      <c r="BU30" s="377"/>
      <c r="BV30" s="377"/>
      <c r="BW30" s="377"/>
      <c r="BX30" s="377"/>
      <c r="BY30" s="377"/>
      <c r="BZ30" s="377"/>
      <c r="CA30" s="377"/>
      <c r="CB30" s="377"/>
      <c r="CC30" s="377"/>
      <c r="CD30" s="377"/>
      <c r="CE30" s="377"/>
      <c r="CF30" s="377"/>
      <c r="CG30" s="377"/>
      <c r="CH30" s="377"/>
      <c r="CI30" s="377"/>
      <c r="CJ30" s="377"/>
      <c r="CK30" s="377"/>
      <c r="CL30" s="377"/>
      <c r="CM30" s="377"/>
      <c r="CN30" s="377"/>
      <c r="CO30" s="377"/>
      <c r="CP30" s="377"/>
      <c r="CQ30" s="377"/>
      <c r="CR30" s="377"/>
      <c r="CS30" s="377"/>
      <c r="CT30" s="377"/>
      <c r="CU30" s="377"/>
      <c r="CV30" s="377"/>
      <c r="CW30" s="377"/>
      <c r="CX30" s="377"/>
      <c r="CY30" s="377"/>
      <c r="CZ30" s="377"/>
      <c r="DA30" s="377"/>
      <c r="DB30" s="377"/>
      <c r="DC30" s="377"/>
      <c r="DD30" s="377"/>
      <c r="DE30" s="377"/>
      <c r="DF30" s="377"/>
      <c r="DG30" s="377"/>
      <c r="DH30" s="377"/>
      <c r="DI30" s="377"/>
      <c r="DJ30" s="377"/>
      <c r="DK30" s="377"/>
      <c r="DL30" s="377"/>
      <c r="DM30" s="377"/>
      <c r="DN30" s="377"/>
      <c r="DO30" s="377"/>
      <c r="DP30" s="377"/>
      <c r="DQ30" s="377"/>
      <c r="DR30" s="377"/>
      <c r="DS30" s="377"/>
      <c r="DT30" s="377"/>
      <c r="DU30" s="377"/>
      <c r="DV30" s="377"/>
      <c r="DW30" s="377"/>
      <c r="DX30" s="377"/>
      <c r="DY30" s="377"/>
      <c r="DZ30" s="377"/>
      <c r="EA30" s="377"/>
      <c r="EB30" s="377"/>
      <c r="EC30" s="377"/>
      <c r="ED30" s="377"/>
      <c r="EE30" s="377"/>
      <c r="EF30" s="377"/>
      <c r="EG30" s="377"/>
      <c r="EH30" s="377"/>
      <c r="EI30" s="377"/>
      <c r="EJ30" s="377"/>
      <c r="EK30" s="377"/>
      <c r="EL30" s="377"/>
      <c r="EM30" s="377"/>
      <c r="EN30" s="377"/>
      <c r="EO30" s="377"/>
      <c r="EP30" s="377"/>
      <c r="EQ30" s="377"/>
      <c r="ER30" s="377"/>
      <c r="ES30" s="377"/>
      <c r="ET30" s="377"/>
      <c r="EU30" s="377"/>
      <c r="EV30" s="377"/>
      <c r="EW30" s="377"/>
      <c r="EX30" s="377"/>
      <c r="EY30" s="377"/>
      <c r="EZ30" s="377"/>
      <c r="FA30" s="377"/>
      <c r="FB30" s="377"/>
      <c r="FC30" s="377"/>
      <c r="FD30" s="377"/>
      <c r="FE30" s="377"/>
      <c r="FF30" s="377"/>
      <c r="FG30" s="377"/>
      <c r="FH30" s="377"/>
      <c r="FI30" s="377"/>
      <c r="FJ30" s="377"/>
      <c r="FK30" s="377"/>
      <c r="FL30" s="377"/>
      <c r="FM30" s="377"/>
      <c r="FN30" s="377"/>
      <c r="FO30" s="377"/>
      <c r="FP30" s="377"/>
      <c r="FQ30" s="377"/>
      <c r="FR30" s="377"/>
      <c r="FS30" s="377"/>
      <c r="FT30" s="377"/>
      <c r="FU30" s="377"/>
      <c r="FV30" s="377"/>
      <c r="FW30" s="377"/>
      <c r="FX30" s="377"/>
      <c r="FY30" s="377"/>
      <c r="FZ30" s="377"/>
      <c r="GA30" s="377"/>
      <c r="GB30" s="377"/>
      <c r="GC30" s="377"/>
      <c r="GD30" s="377"/>
      <c r="GE30" s="377"/>
      <c r="GF30" s="377"/>
      <c r="GG30" s="377"/>
      <c r="GH30" s="377"/>
      <c r="GI30" s="377"/>
      <c r="GJ30" s="377"/>
      <c r="GK30" s="377"/>
      <c r="GL30" s="377"/>
      <c r="GM30" s="377"/>
      <c r="GN30" s="377"/>
      <c r="GO30" s="377"/>
      <c r="GP30" s="377"/>
      <c r="GQ30" s="377"/>
      <c r="GR30" s="377"/>
      <c r="GS30" s="377"/>
    </row>
    <row r="31" spans="1:201">
      <c r="A31" s="872">
        <f>'PLANILHA ORÇAMENTARIA'!A50</f>
        <v>7</v>
      </c>
      <c r="B31" s="905" t="str">
        <f>'PLANILHA ORÇAMENTARIA'!B50</f>
        <v>INFRA-ESTRUTURA</v>
      </c>
      <c r="C31" s="899"/>
      <c r="D31" s="880">
        <f>'PLANILHA ORÇAMENTARIA'!F50</f>
        <v>756061.65999999992</v>
      </c>
      <c r="E31" s="883">
        <f>D31/$D$82</f>
        <v>0.22081240098778429</v>
      </c>
      <c r="F31" s="885">
        <f>$D$31*F33</f>
        <v>226818.49799999996</v>
      </c>
      <c r="G31" s="830"/>
      <c r="H31" s="830"/>
      <c r="I31" s="830"/>
      <c r="J31" s="830"/>
      <c r="K31" s="886"/>
      <c r="L31" s="830">
        <f>L33*$D$31</f>
        <v>378030.82999999996</v>
      </c>
      <c r="M31" s="830"/>
      <c r="N31" s="830"/>
      <c r="O31" s="830"/>
      <c r="P31" s="830"/>
      <c r="Q31" s="830"/>
      <c r="R31" s="830">
        <f>R33*$D$31</f>
        <v>151212.33199999999</v>
      </c>
      <c r="S31" s="830"/>
      <c r="T31" s="830"/>
      <c r="U31" s="830"/>
      <c r="V31" s="830"/>
      <c r="W31" s="830"/>
      <c r="X31" s="830">
        <f>$D$31*X33</f>
        <v>0</v>
      </c>
      <c r="Y31" s="830"/>
      <c r="Z31" s="830"/>
      <c r="AA31" s="830"/>
      <c r="AB31" s="830"/>
      <c r="AC31" s="830"/>
      <c r="AD31" s="885">
        <f>$D$31*AD33</f>
        <v>0</v>
      </c>
      <c r="AE31" s="830"/>
      <c r="AF31" s="830"/>
      <c r="AG31" s="830"/>
      <c r="AH31" s="830"/>
      <c r="AI31" s="830"/>
      <c r="AJ31" s="830">
        <f>$D$31*AJ33</f>
        <v>0</v>
      </c>
      <c r="AK31" s="830"/>
      <c r="AL31" s="830"/>
      <c r="AM31" s="830"/>
      <c r="AN31" s="830"/>
      <c r="AO31" s="831"/>
      <c r="AP31" s="520"/>
      <c r="AQ31" s="377"/>
      <c r="AR31" s="377"/>
      <c r="AS31" s="377"/>
      <c r="AT31" s="376"/>
      <c r="AU31" s="376"/>
      <c r="AV31" s="376"/>
      <c r="AW31" s="376"/>
      <c r="AX31" s="376"/>
      <c r="AY31" s="376"/>
      <c r="AZ31" s="376"/>
      <c r="BA31" s="376"/>
      <c r="BB31" s="376"/>
      <c r="BC31" s="376"/>
      <c r="BD31" s="376"/>
      <c r="BE31" s="376"/>
      <c r="BF31" s="376"/>
      <c r="BG31" s="376"/>
      <c r="BH31" s="376"/>
      <c r="BI31" s="376"/>
      <c r="BJ31" s="376"/>
      <c r="BK31" s="376"/>
      <c r="BL31" s="376"/>
      <c r="BM31" s="376"/>
      <c r="BN31" s="376"/>
      <c r="BO31" s="376"/>
      <c r="BP31" s="376"/>
      <c r="BQ31" s="376"/>
      <c r="BR31" s="376"/>
      <c r="BS31" s="376"/>
      <c r="BT31" s="376"/>
      <c r="BU31" s="376"/>
      <c r="BV31" s="376"/>
      <c r="BW31" s="376"/>
      <c r="BX31" s="376"/>
      <c r="BY31" s="376"/>
      <c r="BZ31" s="376"/>
      <c r="CA31" s="376"/>
      <c r="CB31" s="376"/>
      <c r="CC31" s="376"/>
      <c r="CD31" s="376"/>
      <c r="CE31" s="376"/>
      <c r="CF31" s="376"/>
      <c r="CG31" s="376"/>
      <c r="CH31" s="376"/>
      <c r="CI31" s="376"/>
      <c r="CJ31" s="376"/>
      <c r="CK31" s="376"/>
      <c r="CL31" s="376"/>
      <c r="CM31" s="376"/>
      <c r="CN31" s="376"/>
      <c r="CO31" s="376"/>
      <c r="CP31" s="376"/>
      <c r="CQ31" s="376"/>
      <c r="CR31" s="376"/>
      <c r="CS31" s="376"/>
      <c r="CT31" s="376"/>
      <c r="CU31" s="376"/>
      <c r="CV31" s="376"/>
      <c r="CW31" s="376"/>
      <c r="CX31" s="376"/>
      <c r="CY31" s="376"/>
      <c r="CZ31" s="376"/>
      <c r="DA31" s="376"/>
      <c r="DB31" s="376"/>
      <c r="DC31" s="376"/>
      <c r="DD31" s="376"/>
      <c r="DE31" s="376"/>
      <c r="DF31" s="376"/>
      <c r="DG31" s="376"/>
      <c r="DH31" s="376"/>
      <c r="DI31" s="376"/>
      <c r="DJ31" s="376"/>
      <c r="DK31" s="376"/>
      <c r="DL31" s="376"/>
      <c r="DM31" s="376"/>
      <c r="DN31" s="376"/>
      <c r="DO31" s="376"/>
      <c r="DP31" s="376"/>
      <c r="DQ31" s="376"/>
      <c r="DR31" s="376"/>
      <c r="DS31" s="376"/>
      <c r="DT31" s="376"/>
      <c r="DU31" s="376"/>
      <c r="DV31" s="376"/>
      <c r="DW31" s="376"/>
      <c r="DX31" s="376"/>
      <c r="DY31" s="376"/>
      <c r="DZ31" s="376"/>
      <c r="EA31" s="376"/>
      <c r="EB31" s="376"/>
      <c r="EC31" s="376"/>
      <c r="ED31" s="376"/>
      <c r="EE31" s="376"/>
      <c r="EF31" s="376"/>
      <c r="EG31" s="376"/>
      <c r="EH31" s="376"/>
      <c r="EI31" s="376"/>
      <c r="EJ31" s="376"/>
      <c r="EK31" s="376"/>
      <c r="EL31" s="376"/>
      <c r="EM31" s="376"/>
      <c r="EN31" s="376"/>
      <c r="EO31" s="376"/>
      <c r="EP31" s="376"/>
      <c r="EQ31" s="376"/>
      <c r="ER31" s="376"/>
      <c r="ES31" s="376"/>
      <c r="ET31" s="376"/>
      <c r="EU31" s="376"/>
      <c r="EV31" s="376"/>
      <c r="EW31" s="376"/>
      <c r="EX31" s="376"/>
      <c r="EY31" s="376"/>
      <c r="EZ31" s="376"/>
      <c r="FA31" s="376"/>
      <c r="FB31" s="376"/>
      <c r="FC31" s="376"/>
      <c r="FD31" s="376"/>
      <c r="FE31" s="376"/>
      <c r="FF31" s="376"/>
      <c r="FG31" s="376"/>
      <c r="FH31" s="376"/>
      <c r="FI31" s="376"/>
      <c r="FJ31" s="376"/>
      <c r="FK31" s="376"/>
      <c r="FL31" s="376"/>
      <c r="FM31" s="376"/>
      <c r="FN31" s="376"/>
      <c r="FO31" s="376"/>
      <c r="FP31" s="376"/>
      <c r="FQ31" s="376"/>
      <c r="FR31" s="376"/>
      <c r="FS31" s="376"/>
      <c r="FT31" s="376"/>
      <c r="FU31" s="376"/>
      <c r="FV31" s="376"/>
      <c r="FW31" s="376"/>
      <c r="FX31" s="376"/>
      <c r="FY31" s="376"/>
      <c r="FZ31" s="376"/>
      <c r="GA31" s="376"/>
      <c r="GB31" s="376"/>
      <c r="GC31" s="376"/>
      <c r="GD31" s="376"/>
      <c r="GE31" s="376"/>
      <c r="GF31" s="376"/>
      <c r="GG31" s="376"/>
      <c r="GH31" s="376"/>
      <c r="GI31" s="376"/>
      <c r="GJ31" s="376"/>
      <c r="GK31" s="376"/>
      <c r="GL31" s="376"/>
      <c r="GM31" s="376"/>
      <c r="GN31" s="376"/>
      <c r="GO31" s="376"/>
      <c r="GP31" s="376"/>
      <c r="GQ31" s="376"/>
      <c r="GR31" s="376"/>
      <c r="GS31" s="376"/>
    </row>
    <row r="32" spans="1:201" ht="5.0999999999999996" customHeight="1">
      <c r="A32" s="872"/>
      <c r="B32" s="905"/>
      <c r="C32" s="899"/>
      <c r="D32" s="880"/>
      <c r="E32" s="883"/>
      <c r="F32" s="718">
        <v>1</v>
      </c>
      <c r="G32" s="719">
        <v>1</v>
      </c>
      <c r="H32" s="719">
        <v>1</v>
      </c>
      <c r="I32" s="719">
        <v>1</v>
      </c>
      <c r="J32" s="719">
        <v>1</v>
      </c>
      <c r="K32" s="719">
        <v>1</v>
      </c>
      <c r="L32" s="720">
        <v>1</v>
      </c>
      <c r="M32" s="719">
        <v>1</v>
      </c>
      <c r="N32" s="719">
        <v>1</v>
      </c>
      <c r="O32" s="719">
        <v>1</v>
      </c>
      <c r="P32" s="719">
        <v>1</v>
      </c>
      <c r="Q32" s="721">
        <v>1</v>
      </c>
      <c r="R32" s="718">
        <v>1</v>
      </c>
      <c r="S32" s="719">
        <v>1</v>
      </c>
      <c r="T32" s="719">
        <v>1</v>
      </c>
      <c r="U32" s="719">
        <v>1</v>
      </c>
      <c r="V32" s="719">
        <v>1</v>
      </c>
      <c r="W32" s="719">
        <v>1</v>
      </c>
      <c r="X32" s="720"/>
      <c r="Y32" s="719"/>
      <c r="Z32" s="719"/>
      <c r="AA32" s="719"/>
      <c r="AB32" s="719"/>
      <c r="AC32" s="721"/>
      <c r="AD32" s="733"/>
      <c r="AE32" s="723"/>
      <c r="AF32" s="723"/>
      <c r="AG32" s="723"/>
      <c r="AH32" s="723"/>
      <c r="AI32" s="723"/>
      <c r="AJ32" s="722"/>
      <c r="AK32" s="723"/>
      <c r="AL32" s="723"/>
      <c r="AM32" s="723"/>
      <c r="AN32" s="723"/>
      <c r="AO32" s="724"/>
      <c r="AP32" s="517"/>
      <c r="AQ32" s="377"/>
      <c r="AR32" s="377"/>
      <c r="AS32" s="377"/>
      <c r="AT32" s="376"/>
      <c r="AU32" s="376"/>
      <c r="AV32" s="376"/>
      <c r="AW32" s="376"/>
      <c r="AX32" s="376"/>
      <c r="AY32" s="376"/>
      <c r="AZ32" s="376"/>
      <c r="BA32" s="376"/>
      <c r="BB32" s="376"/>
      <c r="BC32" s="376"/>
      <c r="BD32" s="376"/>
      <c r="BE32" s="376"/>
      <c r="BF32" s="376"/>
      <c r="BG32" s="376"/>
      <c r="BH32" s="376"/>
      <c r="BI32" s="376"/>
      <c r="BJ32" s="376"/>
      <c r="BK32" s="376"/>
      <c r="BL32" s="376"/>
      <c r="BM32" s="376"/>
      <c r="BN32" s="376"/>
      <c r="BO32" s="376"/>
      <c r="BP32" s="376"/>
      <c r="BQ32" s="376"/>
      <c r="BR32" s="376"/>
      <c r="BS32" s="376"/>
      <c r="BT32" s="376"/>
      <c r="BU32" s="376"/>
      <c r="BV32" s="376"/>
      <c r="BW32" s="376"/>
      <c r="BX32" s="376"/>
      <c r="BY32" s="376"/>
      <c r="BZ32" s="376"/>
      <c r="CA32" s="376"/>
      <c r="CB32" s="376"/>
      <c r="CC32" s="376"/>
      <c r="CD32" s="376"/>
      <c r="CE32" s="376"/>
      <c r="CF32" s="376"/>
      <c r="CG32" s="376"/>
      <c r="CH32" s="376"/>
      <c r="CI32" s="376"/>
      <c r="CJ32" s="376"/>
      <c r="CK32" s="376"/>
      <c r="CL32" s="376"/>
      <c r="CM32" s="376"/>
      <c r="CN32" s="376"/>
      <c r="CO32" s="376"/>
      <c r="CP32" s="376"/>
      <c r="CQ32" s="376"/>
      <c r="CR32" s="376"/>
      <c r="CS32" s="376"/>
      <c r="CT32" s="376"/>
      <c r="CU32" s="376"/>
      <c r="CV32" s="376"/>
      <c r="CW32" s="376"/>
      <c r="CX32" s="376"/>
      <c r="CY32" s="376"/>
      <c r="CZ32" s="376"/>
      <c r="DA32" s="376"/>
      <c r="DB32" s="376"/>
      <c r="DC32" s="376"/>
      <c r="DD32" s="376"/>
      <c r="DE32" s="376"/>
      <c r="DF32" s="376"/>
      <c r="DG32" s="376"/>
      <c r="DH32" s="376"/>
      <c r="DI32" s="376"/>
      <c r="DJ32" s="376"/>
      <c r="DK32" s="376"/>
      <c r="DL32" s="376"/>
      <c r="DM32" s="376"/>
      <c r="DN32" s="376"/>
      <c r="DO32" s="376"/>
      <c r="DP32" s="376"/>
      <c r="DQ32" s="376"/>
      <c r="DR32" s="376"/>
      <c r="DS32" s="376"/>
      <c r="DT32" s="376"/>
      <c r="DU32" s="376"/>
      <c r="DV32" s="376"/>
      <c r="DW32" s="376"/>
      <c r="DX32" s="376"/>
      <c r="DY32" s="376"/>
      <c r="DZ32" s="376"/>
      <c r="EA32" s="376"/>
      <c r="EB32" s="376"/>
      <c r="EC32" s="376"/>
      <c r="ED32" s="376"/>
      <c r="EE32" s="376"/>
      <c r="EF32" s="376"/>
      <c r="EG32" s="376"/>
      <c r="EH32" s="376"/>
      <c r="EI32" s="376"/>
      <c r="EJ32" s="376"/>
      <c r="EK32" s="376"/>
      <c r="EL32" s="376"/>
      <c r="EM32" s="376"/>
      <c r="EN32" s="376"/>
      <c r="EO32" s="376"/>
      <c r="EP32" s="376"/>
      <c r="EQ32" s="376"/>
      <c r="ER32" s="376"/>
      <c r="ES32" s="376"/>
      <c r="ET32" s="376"/>
      <c r="EU32" s="376"/>
      <c r="EV32" s="376"/>
      <c r="EW32" s="376"/>
      <c r="EX32" s="376"/>
      <c r="EY32" s="376"/>
      <c r="EZ32" s="376"/>
      <c r="FA32" s="376"/>
      <c r="FB32" s="376"/>
      <c r="FC32" s="376"/>
      <c r="FD32" s="376"/>
      <c r="FE32" s="376"/>
      <c r="FF32" s="376"/>
      <c r="FG32" s="376"/>
      <c r="FH32" s="376"/>
      <c r="FI32" s="376"/>
      <c r="FJ32" s="376"/>
      <c r="FK32" s="376"/>
      <c r="FL32" s="376"/>
      <c r="FM32" s="376"/>
      <c r="FN32" s="376"/>
      <c r="FO32" s="376"/>
      <c r="FP32" s="376"/>
      <c r="FQ32" s="376"/>
      <c r="FR32" s="376"/>
      <c r="FS32" s="376"/>
      <c r="FT32" s="376"/>
      <c r="FU32" s="376"/>
      <c r="FV32" s="376"/>
      <c r="FW32" s="376"/>
      <c r="FX32" s="376"/>
      <c r="FY32" s="376"/>
      <c r="FZ32" s="376"/>
      <c r="GA32" s="376"/>
      <c r="GB32" s="376"/>
      <c r="GC32" s="376"/>
      <c r="GD32" s="376"/>
      <c r="GE32" s="376"/>
      <c r="GF32" s="376"/>
      <c r="GG32" s="376"/>
      <c r="GH32" s="376"/>
      <c r="GI32" s="376"/>
      <c r="GJ32" s="376"/>
      <c r="GK32" s="376"/>
      <c r="GL32" s="376"/>
      <c r="GM32" s="376"/>
      <c r="GN32" s="376"/>
      <c r="GO32" s="376"/>
      <c r="GP32" s="376"/>
      <c r="GQ32" s="376"/>
      <c r="GR32" s="376"/>
      <c r="GS32" s="376"/>
    </row>
    <row r="33" spans="1:201">
      <c r="A33" s="911"/>
      <c r="B33" s="912"/>
      <c r="C33" s="878"/>
      <c r="D33" s="901"/>
      <c r="E33" s="884"/>
      <c r="F33" s="869">
        <v>0.3</v>
      </c>
      <c r="G33" s="828"/>
      <c r="H33" s="828"/>
      <c r="I33" s="828"/>
      <c r="J33" s="828"/>
      <c r="K33" s="870"/>
      <c r="L33" s="828">
        <v>0.5</v>
      </c>
      <c r="M33" s="828"/>
      <c r="N33" s="828"/>
      <c r="O33" s="828"/>
      <c r="P33" s="828"/>
      <c r="Q33" s="828"/>
      <c r="R33" s="869">
        <v>0.2</v>
      </c>
      <c r="S33" s="828"/>
      <c r="T33" s="828"/>
      <c r="U33" s="828"/>
      <c r="V33" s="828"/>
      <c r="W33" s="870"/>
      <c r="X33" s="828"/>
      <c r="Y33" s="828"/>
      <c r="Z33" s="828"/>
      <c r="AA33" s="828"/>
      <c r="AB33" s="828"/>
      <c r="AC33" s="828"/>
      <c r="AD33" s="869"/>
      <c r="AE33" s="828"/>
      <c r="AF33" s="828"/>
      <c r="AG33" s="828"/>
      <c r="AH33" s="828"/>
      <c r="AI33" s="828"/>
      <c r="AJ33" s="828"/>
      <c r="AK33" s="828"/>
      <c r="AL33" s="828"/>
      <c r="AM33" s="828"/>
      <c r="AN33" s="828"/>
      <c r="AO33" s="829"/>
      <c r="AP33" s="517"/>
      <c r="AQ33" s="376"/>
      <c r="AR33" s="376"/>
      <c r="AS33" s="376"/>
      <c r="AT33" s="376"/>
      <c r="AU33" s="376"/>
      <c r="AV33" s="376"/>
      <c r="AW33" s="376"/>
      <c r="AX33" s="376"/>
      <c r="AY33" s="376"/>
      <c r="AZ33" s="376"/>
      <c r="BA33" s="376"/>
      <c r="BB33" s="376"/>
      <c r="BC33" s="376"/>
      <c r="BD33" s="376"/>
      <c r="BE33" s="376"/>
      <c r="BF33" s="376"/>
      <c r="BG33" s="376"/>
      <c r="BH33" s="376"/>
      <c r="BI33" s="376"/>
      <c r="BJ33" s="376"/>
      <c r="BK33" s="376"/>
      <c r="BL33" s="376"/>
      <c r="BM33" s="376"/>
      <c r="BN33" s="376"/>
      <c r="BO33" s="376"/>
      <c r="BP33" s="376"/>
      <c r="BQ33" s="376"/>
      <c r="BR33" s="376"/>
      <c r="BS33" s="376"/>
      <c r="BT33" s="376"/>
      <c r="BU33" s="376"/>
      <c r="BV33" s="376"/>
      <c r="BW33" s="376"/>
      <c r="BX33" s="376"/>
      <c r="BY33" s="376"/>
      <c r="BZ33" s="376"/>
      <c r="CA33" s="376"/>
      <c r="CB33" s="376"/>
      <c r="CC33" s="376"/>
      <c r="CD33" s="376"/>
      <c r="CE33" s="376"/>
      <c r="CF33" s="376"/>
      <c r="CG33" s="376"/>
      <c r="CH33" s="376"/>
      <c r="CI33" s="376"/>
      <c r="CJ33" s="376"/>
      <c r="CK33" s="376"/>
      <c r="CL33" s="376"/>
      <c r="CM33" s="376"/>
      <c r="CN33" s="376"/>
      <c r="CO33" s="376"/>
      <c r="CP33" s="376"/>
      <c r="CQ33" s="376"/>
      <c r="CR33" s="376"/>
      <c r="CS33" s="376"/>
      <c r="CT33" s="376"/>
      <c r="CU33" s="376"/>
      <c r="CV33" s="376"/>
      <c r="CW33" s="376"/>
      <c r="CX33" s="376"/>
      <c r="CY33" s="376"/>
      <c r="CZ33" s="376"/>
      <c r="DA33" s="376"/>
      <c r="DB33" s="376"/>
      <c r="DC33" s="376"/>
      <c r="DD33" s="376"/>
      <c r="DE33" s="376"/>
      <c r="DF33" s="376"/>
      <c r="DG33" s="376"/>
      <c r="DH33" s="376"/>
      <c r="DI33" s="376"/>
      <c r="DJ33" s="376"/>
      <c r="DK33" s="376"/>
      <c r="DL33" s="376"/>
      <c r="DM33" s="376"/>
      <c r="DN33" s="376"/>
      <c r="DO33" s="376"/>
      <c r="DP33" s="376"/>
      <c r="DQ33" s="376"/>
      <c r="DR33" s="376"/>
      <c r="DS33" s="376"/>
      <c r="DT33" s="376"/>
      <c r="DU33" s="376"/>
      <c r="DV33" s="376"/>
      <c r="DW33" s="376"/>
      <c r="DX33" s="376"/>
      <c r="DY33" s="376"/>
      <c r="DZ33" s="376"/>
      <c r="EA33" s="376"/>
      <c r="EB33" s="376"/>
      <c r="EC33" s="376"/>
      <c r="ED33" s="376"/>
      <c r="EE33" s="376"/>
      <c r="EF33" s="376"/>
      <c r="EG33" s="376"/>
      <c r="EH33" s="376"/>
      <c r="EI33" s="376"/>
      <c r="EJ33" s="376"/>
      <c r="EK33" s="376"/>
      <c r="EL33" s="376"/>
      <c r="EM33" s="376"/>
      <c r="EN33" s="376"/>
      <c r="EO33" s="376"/>
      <c r="EP33" s="376"/>
      <c r="EQ33" s="376"/>
      <c r="ER33" s="376"/>
      <c r="ES33" s="376"/>
      <c r="ET33" s="376"/>
      <c r="EU33" s="376"/>
      <c r="EV33" s="376"/>
      <c r="EW33" s="376"/>
      <c r="EX33" s="376"/>
      <c r="EY33" s="376"/>
      <c r="EZ33" s="376"/>
      <c r="FA33" s="376"/>
      <c r="FB33" s="376"/>
      <c r="FC33" s="376"/>
      <c r="FD33" s="376"/>
      <c r="FE33" s="376"/>
      <c r="FF33" s="376"/>
      <c r="FG33" s="376"/>
      <c r="FH33" s="376"/>
      <c r="FI33" s="376"/>
      <c r="FJ33" s="376"/>
      <c r="FK33" s="376"/>
      <c r="FL33" s="376"/>
      <c r="FM33" s="376"/>
      <c r="FN33" s="376"/>
      <c r="FO33" s="376"/>
      <c r="FP33" s="376"/>
      <c r="FQ33" s="376"/>
      <c r="FR33" s="376"/>
      <c r="FS33" s="376"/>
      <c r="FT33" s="376"/>
      <c r="FU33" s="376"/>
      <c r="FV33" s="376"/>
      <c r="FW33" s="376"/>
      <c r="FX33" s="376"/>
      <c r="FY33" s="376"/>
      <c r="FZ33" s="376"/>
      <c r="GA33" s="376"/>
      <c r="GB33" s="376"/>
      <c r="GC33" s="376"/>
      <c r="GD33" s="376"/>
      <c r="GE33" s="376"/>
      <c r="GF33" s="376"/>
      <c r="GG33" s="376"/>
      <c r="GH33" s="376"/>
      <c r="GI33" s="376"/>
      <c r="GJ33" s="376"/>
      <c r="GK33" s="376"/>
      <c r="GL33" s="376"/>
      <c r="GM33" s="376"/>
      <c r="GN33" s="376"/>
      <c r="GO33" s="376"/>
      <c r="GP33" s="376"/>
      <c r="GQ33" s="376"/>
      <c r="GR33" s="376"/>
      <c r="GS33" s="376"/>
    </row>
    <row r="34" spans="1:201">
      <c r="A34" s="806">
        <f>'PLANILHA ORÇAMENTARIA'!A64</f>
        <v>8</v>
      </c>
      <c r="B34" s="809" t="str">
        <f>'PLANILHA ORÇAMENTARIA'!B64</f>
        <v>SUPERESTRUTURA(PILARES,VIGAS,LAJES E ARQUIBANCADA)</v>
      </c>
      <c r="C34" s="812"/>
      <c r="D34" s="815">
        <f>'PLANILHA ORÇAMENTARIA'!F64</f>
        <v>333483.83</v>
      </c>
      <c r="E34" s="818">
        <f>D34/$D$82</f>
        <v>9.7395978514374218E-2</v>
      </c>
      <c r="F34" s="820">
        <f>$D$34*F36</f>
        <v>0</v>
      </c>
      <c r="G34" s="821"/>
      <c r="H34" s="821"/>
      <c r="I34" s="821"/>
      <c r="J34" s="821"/>
      <c r="K34" s="822"/>
      <c r="L34" s="821">
        <f>$D$34*L36</f>
        <v>100045.149</v>
      </c>
      <c r="M34" s="821"/>
      <c r="N34" s="821"/>
      <c r="O34" s="821"/>
      <c r="P34" s="821"/>
      <c r="Q34" s="821"/>
      <c r="R34" s="820">
        <f>$D$34*R36</f>
        <v>150067.72350000002</v>
      </c>
      <c r="S34" s="821"/>
      <c r="T34" s="821"/>
      <c r="U34" s="821"/>
      <c r="V34" s="821"/>
      <c r="W34" s="822"/>
      <c r="X34" s="821">
        <f>$D$34*X36</f>
        <v>83370.957500000004</v>
      </c>
      <c r="Y34" s="821"/>
      <c r="Z34" s="821"/>
      <c r="AA34" s="821"/>
      <c r="AB34" s="821"/>
      <c r="AC34" s="821"/>
      <c r="AD34" s="820">
        <f>$D$34*AD36</f>
        <v>0</v>
      </c>
      <c r="AE34" s="821"/>
      <c r="AF34" s="821"/>
      <c r="AG34" s="821"/>
      <c r="AH34" s="821"/>
      <c r="AI34" s="821"/>
      <c r="AJ34" s="821">
        <f>$D$34*AJ36</f>
        <v>0</v>
      </c>
      <c r="AK34" s="821"/>
      <c r="AL34" s="821"/>
      <c r="AM34" s="821"/>
      <c r="AN34" s="821"/>
      <c r="AO34" s="823"/>
      <c r="AP34" s="520"/>
      <c r="AQ34" s="376"/>
      <c r="AR34" s="376"/>
      <c r="AS34" s="376"/>
      <c r="AT34" s="377"/>
      <c r="AU34" s="377"/>
      <c r="AV34" s="377"/>
      <c r="AW34" s="377"/>
      <c r="AX34" s="377"/>
      <c r="AY34" s="377"/>
      <c r="AZ34" s="377"/>
      <c r="BA34" s="377"/>
      <c r="BB34" s="377"/>
      <c r="BC34" s="377"/>
      <c r="BD34" s="377"/>
      <c r="BE34" s="377"/>
      <c r="BF34" s="377"/>
      <c r="BG34" s="377"/>
      <c r="BH34" s="377"/>
      <c r="BI34" s="377"/>
      <c r="BJ34" s="377"/>
      <c r="BK34" s="377"/>
      <c r="BL34" s="377"/>
      <c r="BM34" s="377"/>
      <c r="BN34" s="377"/>
      <c r="BO34" s="377"/>
      <c r="BP34" s="377"/>
      <c r="BQ34" s="377"/>
      <c r="BR34" s="377"/>
      <c r="BS34" s="377"/>
      <c r="BT34" s="377"/>
      <c r="BU34" s="377"/>
      <c r="BV34" s="377"/>
      <c r="BW34" s="377"/>
      <c r="BX34" s="377"/>
      <c r="BY34" s="377"/>
      <c r="BZ34" s="377"/>
      <c r="CA34" s="377"/>
      <c r="CB34" s="377"/>
      <c r="CC34" s="377"/>
      <c r="CD34" s="377"/>
      <c r="CE34" s="377"/>
      <c r="CF34" s="377"/>
      <c r="CG34" s="377"/>
      <c r="CH34" s="377"/>
      <c r="CI34" s="377"/>
      <c r="CJ34" s="377"/>
      <c r="CK34" s="377"/>
      <c r="CL34" s="377"/>
      <c r="CM34" s="377"/>
      <c r="CN34" s="377"/>
      <c r="CO34" s="377"/>
      <c r="CP34" s="377"/>
      <c r="CQ34" s="377"/>
      <c r="CR34" s="377"/>
      <c r="CS34" s="377"/>
      <c r="CT34" s="377"/>
      <c r="CU34" s="377"/>
      <c r="CV34" s="377"/>
      <c r="CW34" s="377"/>
      <c r="CX34" s="377"/>
      <c r="CY34" s="377"/>
      <c r="CZ34" s="377"/>
      <c r="DA34" s="377"/>
      <c r="DB34" s="377"/>
      <c r="DC34" s="377"/>
      <c r="DD34" s="377"/>
      <c r="DE34" s="377"/>
      <c r="DF34" s="377"/>
      <c r="DG34" s="377"/>
      <c r="DH34" s="377"/>
      <c r="DI34" s="377"/>
      <c r="DJ34" s="377"/>
      <c r="DK34" s="377"/>
      <c r="DL34" s="377"/>
      <c r="DM34" s="377"/>
      <c r="DN34" s="377"/>
      <c r="DO34" s="377"/>
      <c r="DP34" s="377"/>
      <c r="DQ34" s="377"/>
      <c r="DR34" s="377"/>
      <c r="DS34" s="377"/>
      <c r="DT34" s="377"/>
      <c r="DU34" s="377"/>
      <c r="DV34" s="377"/>
      <c r="DW34" s="377"/>
      <c r="DX34" s="377"/>
      <c r="DY34" s="377"/>
      <c r="DZ34" s="377"/>
      <c r="EA34" s="377"/>
      <c r="EB34" s="377"/>
      <c r="EC34" s="377"/>
      <c r="ED34" s="377"/>
      <c r="EE34" s="377"/>
      <c r="EF34" s="377"/>
      <c r="EG34" s="377"/>
      <c r="EH34" s="377"/>
      <c r="EI34" s="377"/>
      <c r="EJ34" s="377"/>
      <c r="EK34" s="377"/>
      <c r="EL34" s="377"/>
      <c r="EM34" s="377"/>
      <c r="EN34" s="377"/>
      <c r="EO34" s="377"/>
      <c r="EP34" s="377"/>
      <c r="EQ34" s="377"/>
      <c r="ER34" s="377"/>
      <c r="ES34" s="377"/>
      <c r="ET34" s="377"/>
      <c r="EU34" s="377"/>
      <c r="EV34" s="377"/>
      <c r="EW34" s="377"/>
      <c r="EX34" s="377"/>
      <c r="EY34" s="377"/>
      <c r="EZ34" s="377"/>
      <c r="FA34" s="377"/>
      <c r="FB34" s="377"/>
      <c r="FC34" s="377"/>
      <c r="FD34" s="377"/>
      <c r="FE34" s="377"/>
      <c r="FF34" s="377"/>
      <c r="FG34" s="377"/>
      <c r="FH34" s="377"/>
      <c r="FI34" s="377"/>
      <c r="FJ34" s="377"/>
      <c r="FK34" s="377"/>
      <c r="FL34" s="377"/>
      <c r="FM34" s="377"/>
      <c r="FN34" s="377"/>
      <c r="FO34" s="377"/>
      <c r="FP34" s="377"/>
      <c r="FQ34" s="377"/>
      <c r="FR34" s="377"/>
      <c r="FS34" s="377"/>
      <c r="FT34" s="377"/>
      <c r="FU34" s="377"/>
      <c r="FV34" s="377"/>
      <c r="FW34" s="377"/>
      <c r="FX34" s="377"/>
      <c r="FY34" s="377"/>
      <c r="FZ34" s="377"/>
      <c r="GA34" s="377"/>
      <c r="GB34" s="377"/>
      <c r="GC34" s="377"/>
      <c r="GD34" s="377"/>
      <c r="GE34" s="377"/>
      <c r="GF34" s="377"/>
      <c r="GG34" s="377"/>
      <c r="GH34" s="377"/>
      <c r="GI34" s="377"/>
      <c r="GJ34" s="377"/>
      <c r="GK34" s="377"/>
      <c r="GL34" s="377"/>
      <c r="GM34" s="377"/>
      <c r="GN34" s="377"/>
      <c r="GO34" s="377"/>
      <c r="GP34" s="377"/>
      <c r="GQ34" s="377"/>
      <c r="GR34" s="377"/>
      <c r="GS34" s="377"/>
    </row>
    <row r="35" spans="1:201" ht="5.0999999999999996" customHeight="1">
      <c r="A35" s="807"/>
      <c r="B35" s="810"/>
      <c r="C35" s="813"/>
      <c r="D35" s="816"/>
      <c r="E35" s="818"/>
      <c r="F35" s="725"/>
      <c r="G35" s="726"/>
      <c r="H35" s="726"/>
      <c r="I35" s="726"/>
      <c r="J35" s="726"/>
      <c r="K35" s="726"/>
      <c r="L35" s="727">
        <v>1</v>
      </c>
      <c r="M35" s="726">
        <v>1</v>
      </c>
      <c r="N35" s="726">
        <v>1</v>
      </c>
      <c r="O35" s="726">
        <v>1</v>
      </c>
      <c r="P35" s="726">
        <v>1</v>
      </c>
      <c r="Q35" s="728">
        <v>1</v>
      </c>
      <c r="R35" s="725">
        <v>1</v>
      </c>
      <c r="S35" s="726">
        <v>1</v>
      </c>
      <c r="T35" s="726">
        <v>1</v>
      </c>
      <c r="U35" s="726">
        <v>1</v>
      </c>
      <c r="V35" s="726">
        <v>1</v>
      </c>
      <c r="W35" s="726">
        <v>1</v>
      </c>
      <c r="X35" s="727">
        <v>1</v>
      </c>
      <c r="Y35" s="726">
        <v>1</v>
      </c>
      <c r="Z35" s="726">
        <v>1</v>
      </c>
      <c r="AA35" s="726">
        <v>1</v>
      </c>
      <c r="AB35" s="726">
        <v>1</v>
      </c>
      <c r="AC35" s="728">
        <v>1</v>
      </c>
      <c r="AD35" s="729"/>
      <c r="AE35" s="730"/>
      <c r="AF35" s="730"/>
      <c r="AG35" s="730"/>
      <c r="AH35" s="730"/>
      <c r="AI35" s="730"/>
      <c r="AJ35" s="731"/>
      <c r="AK35" s="730"/>
      <c r="AL35" s="730"/>
      <c r="AM35" s="730"/>
      <c r="AN35" s="730"/>
      <c r="AO35" s="732"/>
      <c r="AP35" s="517"/>
      <c r="AQ35" s="376"/>
      <c r="AR35" s="376"/>
      <c r="AS35" s="376"/>
      <c r="AT35" s="377"/>
      <c r="AU35" s="377"/>
      <c r="AV35" s="377"/>
      <c r="AW35" s="377"/>
      <c r="AX35" s="377"/>
      <c r="AY35" s="377"/>
      <c r="AZ35" s="377"/>
      <c r="BA35" s="377"/>
      <c r="BB35" s="377"/>
      <c r="BC35" s="377"/>
      <c r="BD35" s="377"/>
      <c r="BE35" s="377"/>
      <c r="BF35" s="377"/>
      <c r="BG35" s="377"/>
      <c r="BH35" s="377"/>
      <c r="BI35" s="377"/>
      <c r="BJ35" s="377"/>
      <c r="BK35" s="377"/>
      <c r="BL35" s="377"/>
      <c r="BM35" s="377"/>
      <c r="BN35" s="377"/>
      <c r="BO35" s="377"/>
      <c r="BP35" s="377"/>
      <c r="BQ35" s="377"/>
      <c r="BR35" s="377"/>
      <c r="BS35" s="377"/>
      <c r="BT35" s="377"/>
      <c r="BU35" s="377"/>
      <c r="BV35" s="377"/>
      <c r="BW35" s="377"/>
      <c r="BX35" s="377"/>
      <c r="BY35" s="377"/>
      <c r="BZ35" s="377"/>
      <c r="CA35" s="377"/>
      <c r="CB35" s="377"/>
      <c r="CC35" s="377"/>
      <c r="CD35" s="377"/>
      <c r="CE35" s="377"/>
      <c r="CF35" s="377"/>
      <c r="CG35" s="377"/>
      <c r="CH35" s="377"/>
      <c r="CI35" s="377"/>
      <c r="CJ35" s="377"/>
      <c r="CK35" s="377"/>
      <c r="CL35" s="377"/>
      <c r="CM35" s="377"/>
      <c r="CN35" s="377"/>
      <c r="CO35" s="377"/>
      <c r="CP35" s="377"/>
      <c r="CQ35" s="377"/>
      <c r="CR35" s="377"/>
      <c r="CS35" s="377"/>
      <c r="CT35" s="377"/>
      <c r="CU35" s="377"/>
      <c r="CV35" s="377"/>
      <c r="CW35" s="377"/>
      <c r="CX35" s="377"/>
      <c r="CY35" s="377"/>
      <c r="CZ35" s="377"/>
      <c r="DA35" s="377"/>
      <c r="DB35" s="377"/>
      <c r="DC35" s="377"/>
      <c r="DD35" s="377"/>
      <c r="DE35" s="377"/>
      <c r="DF35" s="377"/>
      <c r="DG35" s="377"/>
      <c r="DH35" s="377"/>
      <c r="DI35" s="377"/>
      <c r="DJ35" s="377"/>
      <c r="DK35" s="377"/>
      <c r="DL35" s="377"/>
      <c r="DM35" s="377"/>
      <c r="DN35" s="377"/>
      <c r="DO35" s="377"/>
      <c r="DP35" s="377"/>
      <c r="DQ35" s="377"/>
      <c r="DR35" s="377"/>
      <c r="DS35" s="377"/>
      <c r="DT35" s="377"/>
      <c r="DU35" s="377"/>
      <c r="DV35" s="377"/>
      <c r="DW35" s="377"/>
      <c r="DX35" s="377"/>
      <c r="DY35" s="377"/>
      <c r="DZ35" s="377"/>
      <c r="EA35" s="377"/>
      <c r="EB35" s="377"/>
      <c r="EC35" s="377"/>
      <c r="ED35" s="377"/>
      <c r="EE35" s="377"/>
      <c r="EF35" s="377"/>
      <c r="EG35" s="377"/>
      <c r="EH35" s="377"/>
      <c r="EI35" s="377"/>
      <c r="EJ35" s="377"/>
      <c r="EK35" s="377"/>
      <c r="EL35" s="377"/>
      <c r="EM35" s="377"/>
      <c r="EN35" s="377"/>
      <c r="EO35" s="377"/>
      <c r="EP35" s="377"/>
      <c r="EQ35" s="377"/>
      <c r="ER35" s="377"/>
      <c r="ES35" s="377"/>
      <c r="ET35" s="377"/>
      <c r="EU35" s="377"/>
      <c r="EV35" s="377"/>
      <c r="EW35" s="377"/>
      <c r="EX35" s="377"/>
      <c r="EY35" s="377"/>
      <c r="EZ35" s="377"/>
      <c r="FA35" s="377"/>
      <c r="FB35" s="377"/>
      <c r="FC35" s="377"/>
      <c r="FD35" s="377"/>
      <c r="FE35" s="377"/>
      <c r="FF35" s="377"/>
      <c r="FG35" s="377"/>
      <c r="FH35" s="377"/>
      <c r="FI35" s="377"/>
      <c r="FJ35" s="377"/>
      <c r="FK35" s="377"/>
      <c r="FL35" s="377"/>
      <c r="FM35" s="377"/>
      <c r="FN35" s="377"/>
      <c r="FO35" s="377"/>
      <c r="FP35" s="377"/>
      <c r="FQ35" s="377"/>
      <c r="FR35" s="377"/>
      <c r="FS35" s="377"/>
      <c r="FT35" s="377"/>
      <c r="FU35" s="377"/>
      <c r="FV35" s="377"/>
      <c r="FW35" s="377"/>
      <c r="FX35" s="377"/>
      <c r="FY35" s="377"/>
      <c r="FZ35" s="377"/>
      <c r="GA35" s="377"/>
      <c r="GB35" s="377"/>
      <c r="GC35" s="377"/>
      <c r="GD35" s="377"/>
      <c r="GE35" s="377"/>
      <c r="GF35" s="377"/>
      <c r="GG35" s="377"/>
      <c r="GH35" s="377"/>
      <c r="GI35" s="377"/>
      <c r="GJ35" s="377"/>
      <c r="GK35" s="377"/>
      <c r="GL35" s="377"/>
      <c r="GM35" s="377"/>
      <c r="GN35" s="377"/>
      <c r="GO35" s="377"/>
      <c r="GP35" s="377"/>
      <c r="GQ35" s="377"/>
      <c r="GR35" s="377"/>
      <c r="GS35" s="377"/>
    </row>
    <row r="36" spans="1:201">
      <c r="A36" s="808"/>
      <c r="B36" s="811"/>
      <c r="C36" s="814"/>
      <c r="D36" s="817"/>
      <c r="E36" s="819"/>
      <c r="F36" s="824"/>
      <c r="G36" s="825"/>
      <c r="H36" s="825"/>
      <c r="I36" s="825"/>
      <c r="J36" s="825"/>
      <c r="K36" s="826"/>
      <c r="L36" s="825">
        <v>0.3</v>
      </c>
      <c r="M36" s="825"/>
      <c r="N36" s="825"/>
      <c r="O36" s="825"/>
      <c r="P36" s="825"/>
      <c r="Q36" s="825"/>
      <c r="R36" s="824">
        <v>0.45</v>
      </c>
      <c r="S36" s="825"/>
      <c r="T36" s="825"/>
      <c r="U36" s="825"/>
      <c r="V36" s="825"/>
      <c r="W36" s="826"/>
      <c r="X36" s="825">
        <v>0.25</v>
      </c>
      <c r="Y36" s="825"/>
      <c r="Z36" s="825"/>
      <c r="AA36" s="825"/>
      <c r="AB36" s="825"/>
      <c r="AC36" s="825"/>
      <c r="AD36" s="824"/>
      <c r="AE36" s="825"/>
      <c r="AF36" s="825"/>
      <c r="AG36" s="825"/>
      <c r="AH36" s="825"/>
      <c r="AI36" s="825"/>
      <c r="AJ36" s="825"/>
      <c r="AK36" s="825"/>
      <c r="AL36" s="825"/>
      <c r="AM36" s="825"/>
      <c r="AN36" s="825"/>
      <c r="AO36" s="827"/>
      <c r="AP36" s="517"/>
      <c r="AQ36" s="377"/>
      <c r="AR36" s="377"/>
      <c r="AS36" s="377"/>
      <c r="AT36" s="377"/>
      <c r="AU36" s="377"/>
      <c r="AV36" s="377"/>
      <c r="AW36" s="377"/>
      <c r="AX36" s="377"/>
      <c r="AY36" s="377"/>
      <c r="AZ36" s="377"/>
      <c r="BA36" s="377"/>
      <c r="BB36" s="377"/>
      <c r="BC36" s="377"/>
      <c r="BD36" s="377"/>
      <c r="BE36" s="377"/>
      <c r="BF36" s="377"/>
      <c r="BG36" s="377"/>
      <c r="BH36" s="377"/>
      <c r="BI36" s="377"/>
      <c r="BJ36" s="377"/>
      <c r="BK36" s="377"/>
      <c r="BL36" s="377"/>
      <c r="BM36" s="377"/>
      <c r="BN36" s="377"/>
      <c r="BO36" s="377"/>
      <c r="BP36" s="377"/>
      <c r="BQ36" s="377"/>
      <c r="BR36" s="377"/>
      <c r="BS36" s="377"/>
      <c r="BT36" s="377"/>
      <c r="BU36" s="377"/>
      <c r="BV36" s="377"/>
      <c r="BW36" s="377"/>
      <c r="BX36" s="377"/>
      <c r="BY36" s="377"/>
      <c r="BZ36" s="377"/>
      <c r="CA36" s="377"/>
      <c r="CB36" s="377"/>
      <c r="CC36" s="377"/>
      <c r="CD36" s="377"/>
      <c r="CE36" s="377"/>
      <c r="CF36" s="377"/>
      <c r="CG36" s="377"/>
      <c r="CH36" s="377"/>
      <c r="CI36" s="377"/>
      <c r="CJ36" s="377"/>
      <c r="CK36" s="377"/>
      <c r="CL36" s="377"/>
      <c r="CM36" s="377"/>
      <c r="CN36" s="377"/>
      <c r="CO36" s="377"/>
      <c r="CP36" s="377"/>
      <c r="CQ36" s="377"/>
      <c r="CR36" s="377"/>
      <c r="CS36" s="377"/>
      <c r="CT36" s="377"/>
      <c r="CU36" s="377"/>
      <c r="CV36" s="377"/>
      <c r="CW36" s="377"/>
      <c r="CX36" s="377"/>
      <c r="CY36" s="377"/>
      <c r="CZ36" s="377"/>
      <c r="DA36" s="377"/>
      <c r="DB36" s="377"/>
      <c r="DC36" s="377"/>
      <c r="DD36" s="377"/>
      <c r="DE36" s="377"/>
      <c r="DF36" s="377"/>
      <c r="DG36" s="377"/>
      <c r="DH36" s="377"/>
      <c r="DI36" s="377"/>
      <c r="DJ36" s="377"/>
      <c r="DK36" s="377"/>
      <c r="DL36" s="377"/>
      <c r="DM36" s="377"/>
      <c r="DN36" s="377"/>
      <c r="DO36" s="377"/>
      <c r="DP36" s="377"/>
      <c r="DQ36" s="377"/>
      <c r="DR36" s="377"/>
      <c r="DS36" s="377"/>
      <c r="DT36" s="377"/>
      <c r="DU36" s="377"/>
      <c r="DV36" s="377"/>
      <c r="DW36" s="377"/>
      <c r="DX36" s="377"/>
      <c r="DY36" s="377"/>
      <c r="DZ36" s="377"/>
      <c r="EA36" s="377"/>
      <c r="EB36" s="377"/>
      <c r="EC36" s="377"/>
      <c r="ED36" s="377"/>
      <c r="EE36" s="377"/>
      <c r="EF36" s="377"/>
      <c r="EG36" s="377"/>
      <c r="EH36" s="377"/>
      <c r="EI36" s="377"/>
      <c r="EJ36" s="377"/>
      <c r="EK36" s="377"/>
      <c r="EL36" s="377"/>
      <c r="EM36" s="377"/>
      <c r="EN36" s="377"/>
      <c r="EO36" s="377"/>
      <c r="EP36" s="377"/>
      <c r="EQ36" s="377"/>
      <c r="ER36" s="377"/>
      <c r="ES36" s="377"/>
      <c r="ET36" s="377"/>
      <c r="EU36" s="377"/>
      <c r="EV36" s="377"/>
      <c r="EW36" s="377"/>
      <c r="EX36" s="377"/>
      <c r="EY36" s="377"/>
      <c r="EZ36" s="377"/>
      <c r="FA36" s="377"/>
      <c r="FB36" s="377"/>
      <c r="FC36" s="377"/>
      <c r="FD36" s="377"/>
      <c r="FE36" s="377"/>
      <c r="FF36" s="377"/>
      <c r="FG36" s="377"/>
      <c r="FH36" s="377"/>
      <c r="FI36" s="377"/>
      <c r="FJ36" s="377"/>
      <c r="FK36" s="377"/>
      <c r="FL36" s="377"/>
      <c r="FM36" s="377"/>
      <c r="FN36" s="377"/>
      <c r="FO36" s="377"/>
      <c r="FP36" s="377"/>
      <c r="FQ36" s="377"/>
      <c r="FR36" s="377"/>
      <c r="FS36" s="377"/>
      <c r="FT36" s="377"/>
      <c r="FU36" s="377"/>
      <c r="FV36" s="377"/>
      <c r="FW36" s="377"/>
      <c r="FX36" s="377"/>
      <c r="FY36" s="377"/>
      <c r="FZ36" s="377"/>
      <c r="GA36" s="377"/>
      <c r="GB36" s="377"/>
      <c r="GC36" s="377"/>
      <c r="GD36" s="377"/>
      <c r="GE36" s="377"/>
      <c r="GF36" s="377"/>
      <c r="GG36" s="377"/>
      <c r="GH36" s="377"/>
      <c r="GI36" s="377"/>
      <c r="GJ36" s="377"/>
      <c r="GK36" s="377"/>
      <c r="GL36" s="377"/>
      <c r="GM36" s="377"/>
      <c r="GN36" s="377"/>
      <c r="GO36" s="377"/>
      <c r="GP36" s="377"/>
      <c r="GQ36" s="377"/>
      <c r="GR36" s="377"/>
      <c r="GS36" s="377"/>
    </row>
    <row r="37" spans="1:201">
      <c r="A37" s="872">
        <f>'PLANILHA ORÇAMENTARIA'!A80</f>
        <v>9</v>
      </c>
      <c r="B37" s="905" t="str">
        <f>'PLANILHA ORÇAMENTARIA'!B80</f>
        <v>COBERTURA</v>
      </c>
      <c r="C37" s="899"/>
      <c r="D37" s="880">
        <f>'PLANILHA ORÇAMENTARIA'!F80</f>
        <v>296387.39999999997</v>
      </c>
      <c r="E37" s="883">
        <f>D37/$D$82</f>
        <v>8.656174076665496E-2</v>
      </c>
      <c r="F37" s="885">
        <f>$D$37*F39</f>
        <v>0</v>
      </c>
      <c r="G37" s="830"/>
      <c r="H37" s="830"/>
      <c r="I37" s="830"/>
      <c r="J37" s="830"/>
      <c r="K37" s="886"/>
      <c r="L37" s="830">
        <f>$D$37*L39</f>
        <v>0</v>
      </c>
      <c r="M37" s="830"/>
      <c r="N37" s="830"/>
      <c r="O37" s="830"/>
      <c r="P37" s="830"/>
      <c r="Q37" s="830"/>
      <c r="R37" s="885">
        <f>$D$37*R39</f>
        <v>0</v>
      </c>
      <c r="S37" s="830"/>
      <c r="T37" s="830"/>
      <c r="U37" s="830"/>
      <c r="V37" s="830"/>
      <c r="W37" s="886"/>
      <c r="X37" s="830">
        <f>$D$37*X39</f>
        <v>296387.39999999997</v>
      </c>
      <c r="Y37" s="830"/>
      <c r="Z37" s="830"/>
      <c r="AA37" s="830"/>
      <c r="AB37" s="830"/>
      <c r="AC37" s="830"/>
      <c r="AD37" s="885">
        <f>$D$37*AD39</f>
        <v>0</v>
      </c>
      <c r="AE37" s="830"/>
      <c r="AF37" s="830"/>
      <c r="AG37" s="830"/>
      <c r="AH37" s="830"/>
      <c r="AI37" s="830"/>
      <c r="AJ37" s="830">
        <f>$D$37*AJ39</f>
        <v>0</v>
      </c>
      <c r="AK37" s="830"/>
      <c r="AL37" s="830"/>
      <c r="AM37" s="830"/>
      <c r="AN37" s="830"/>
      <c r="AO37" s="831"/>
      <c r="AP37" s="520"/>
      <c r="AQ37" s="377"/>
      <c r="AR37" s="377"/>
      <c r="AS37" s="377"/>
      <c r="AT37" s="377"/>
      <c r="AU37" s="377"/>
      <c r="AV37" s="377"/>
      <c r="AW37" s="377"/>
      <c r="AX37" s="377"/>
      <c r="AY37" s="377"/>
      <c r="AZ37" s="377"/>
      <c r="BA37" s="377"/>
      <c r="BB37" s="377"/>
      <c r="BC37" s="377"/>
      <c r="BD37" s="377"/>
      <c r="BE37" s="377"/>
      <c r="BF37" s="377"/>
      <c r="BG37" s="377"/>
      <c r="BH37" s="377"/>
      <c r="BI37" s="377"/>
      <c r="BJ37" s="377"/>
      <c r="BK37" s="377"/>
      <c r="BL37" s="377"/>
      <c r="BM37" s="377"/>
      <c r="BN37" s="377"/>
      <c r="BO37" s="377"/>
      <c r="BP37" s="377"/>
      <c r="BQ37" s="377"/>
      <c r="BR37" s="377"/>
      <c r="BS37" s="377"/>
      <c r="BT37" s="377"/>
      <c r="BU37" s="377"/>
      <c r="BV37" s="377"/>
      <c r="BW37" s="377"/>
      <c r="BX37" s="377"/>
      <c r="BY37" s="377"/>
      <c r="BZ37" s="377"/>
      <c r="CA37" s="377"/>
      <c r="CB37" s="377"/>
      <c r="CC37" s="377"/>
      <c r="CD37" s="377"/>
      <c r="CE37" s="377"/>
      <c r="CF37" s="377"/>
      <c r="CG37" s="377"/>
      <c r="CH37" s="377"/>
      <c r="CI37" s="377"/>
      <c r="CJ37" s="377"/>
      <c r="CK37" s="377"/>
      <c r="CL37" s="377"/>
      <c r="CM37" s="377"/>
      <c r="CN37" s="377"/>
      <c r="CO37" s="377"/>
      <c r="CP37" s="377"/>
      <c r="CQ37" s="377"/>
      <c r="CR37" s="377"/>
      <c r="CS37" s="377"/>
      <c r="CT37" s="377"/>
      <c r="CU37" s="377"/>
      <c r="CV37" s="377"/>
      <c r="CW37" s="377"/>
      <c r="CX37" s="377"/>
      <c r="CY37" s="377"/>
      <c r="CZ37" s="377"/>
      <c r="DA37" s="377"/>
      <c r="DB37" s="377"/>
      <c r="DC37" s="377"/>
      <c r="DD37" s="377"/>
      <c r="DE37" s="377"/>
      <c r="DF37" s="377"/>
      <c r="DG37" s="377"/>
      <c r="DH37" s="377"/>
      <c r="DI37" s="377"/>
      <c r="DJ37" s="377"/>
      <c r="DK37" s="377"/>
      <c r="DL37" s="377"/>
      <c r="DM37" s="377"/>
      <c r="DN37" s="377"/>
      <c r="DO37" s="377"/>
      <c r="DP37" s="377"/>
      <c r="DQ37" s="377"/>
      <c r="DR37" s="377"/>
      <c r="DS37" s="377"/>
      <c r="DT37" s="377"/>
      <c r="DU37" s="377"/>
      <c r="DV37" s="377"/>
      <c r="DW37" s="377"/>
      <c r="DX37" s="377"/>
      <c r="DY37" s="377"/>
      <c r="DZ37" s="377"/>
      <c r="EA37" s="377"/>
      <c r="EB37" s="377"/>
      <c r="EC37" s="377"/>
      <c r="ED37" s="377"/>
      <c r="EE37" s="377"/>
      <c r="EF37" s="377"/>
      <c r="EG37" s="377"/>
      <c r="EH37" s="377"/>
      <c r="EI37" s="377"/>
      <c r="EJ37" s="377"/>
      <c r="EK37" s="377"/>
      <c r="EL37" s="377"/>
      <c r="EM37" s="377"/>
      <c r="EN37" s="377"/>
      <c r="EO37" s="377"/>
      <c r="EP37" s="377"/>
      <c r="EQ37" s="377"/>
      <c r="ER37" s="377"/>
      <c r="ES37" s="377"/>
      <c r="ET37" s="377"/>
      <c r="EU37" s="377"/>
      <c r="EV37" s="377"/>
      <c r="EW37" s="377"/>
      <c r="EX37" s="377"/>
      <c r="EY37" s="377"/>
      <c r="EZ37" s="377"/>
      <c r="FA37" s="377"/>
      <c r="FB37" s="377"/>
      <c r="FC37" s="377"/>
      <c r="FD37" s="377"/>
      <c r="FE37" s="377"/>
      <c r="FF37" s="377"/>
      <c r="FG37" s="377"/>
      <c r="FH37" s="377"/>
      <c r="FI37" s="377"/>
      <c r="FJ37" s="377"/>
      <c r="FK37" s="377"/>
      <c r="FL37" s="377"/>
      <c r="FM37" s="377"/>
      <c r="FN37" s="377"/>
      <c r="FO37" s="377"/>
      <c r="FP37" s="377"/>
      <c r="FQ37" s="377"/>
      <c r="FR37" s="377"/>
      <c r="FS37" s="377"/>
      <c r="FT37" s="377"/>
      <c r="FU37" s="377"/>
      <c r="FV37" s="377"/>
      <c r="FW37" s="377"/>
      <c r="FX37" s="377"/>
      <c r="FY37" s="377"/>
      <c r="FZ37" s="377"/>
      <c r="GA37" s="377"/>
      <c r="GB37" s="377"/>
      <c r="GC37" s="377"/>
      <c r="GD37" s="377"/>
      <c r="GE37" s="377"/>
      <c r="GF37" s="377"/>
      <c r="GG37" s="377"/>
      <c r="GH37" s="377"/>
      <c r="GI37" s="377"/>
      <c r="GJ37" s="377"/>
      <c r="GK37" s="377"/>
      <c r="GL37" s="377"/>
      <c r="GM37" s="377"/>
      <c r="GN37" s="377"/>
      <c r="GO37" s="377"/>
      <c r="GP37" s="377"/>
      <c r="GQ37" s="377"/>
      <c r="GR37" s="377"/>
      <c r="GS37" s="377"/>
    </row>
    <row r="38" spans="1:201" ht="5.0999999999999996" customHeight="1">
      <c r="A38" s="872"/>
      <c r="B38" s="905"/>
      <c r="C38" s="899"/>
      <c r="D38" s="880"/>
      <c r="E38" s="883"/>
      <c r="F38" s="718"/>
      <c r="G38" s="719"/>
      <c r="H38" s="719"/>
      <c r="I38" s="719"/>
      <c r="J38" s="719"/>
      <c r="K38" s="719"/>
      <c r="L38" s="720"/>
      <c r="M38" s="719"/>
      <c r="N38" s="719"/>
      <c r="O38" s="719"/>
      <c r="P38" s="719"/>
      <c r="Q38" s="721"/>
      <c r="R38" s="718"/>
      <c r="S38" s="719"/>
      <c r="T38" s="719"/>
      <c r="U38" s="719"/>
      <c r="V38" s="719"/>
      <c r="W38" s="719"/>
      <c r="X38" s="720">
        <v>1</v>
      </c>
      <c r="Y38" s="719">
        <v>1</v>
      </c>
      <c r="Z38" s="719">
        <v>1</v>
      </c>
      <c r="AA38" s="719">
        <v>1</v>
      </c>
      <c r="AB38" s="719">
        <v>1</v>
      </c>
      <c r="AC38" s="721">
        <v>1</v>
      </c>
      <c r="AD38" s="733"/>
      <c r="AE38" s="723"/>
      <c r="AF38" s="723"/>
      <c r="AG38" s="723"/>
      <c r="AH38" s="723"/>
      <c r="AI38" s="723"/>
      <c r="AJ38" s="722"/>
      <c r="AK38" s="723"/>
      <c r="AL38" s="723"/>
      <c r="AM38" s="723"/>
      <c r="AN38" s="723"/>
      <c r="AO38" s="724"/>
      <c r="AP38" s="517"/>
      <c r="AQ38" s="377"/>
      <c r="AR38" s="377"/>
      <c r="AS38" s="377"/>
      <c r="AT38" s="377"/>
      <c r="AU38" s="377"/>
      <c r="AV38" s="377"/>
      <c r="AW38" s="377"/>
      <c r="AX38" s="377"/>
      <c r="AY38" s="377"/>
      <c r="AZ38" s="377"/>
      <c r="BA38" s="377"/>
      <c r="BB38" s="377"/>
      <c r="BC38" s="377"/>
      <c r="BD38" s="377"/>
      <c r="BE38" s="377"/>
      <c r="BF38" s="377"/>
      <c r="BG38" s="377"/>
      <c r="BH38" s="377"/>
      <c r="BI38" s="377"/>
      <c r="BJ38" s="377"/>
      <c r="BK38" s="377"/>
      <c r="BL38" s="377"/>
      <c r="BM38" s="377"/>
      <c r="BN38" s="377"/>
      <c r="BO38" s="377"/>
      <c r="BP38" s="377"/>
      <c r="BQ38" s="377"/>
      <c r="BR38" s="377"/>
      <c r="BS38" s="377"/>
      <c r="BT38" s="377"/>
      <c r="BU38" s="377"/>
      <c r="BV38" s="377"/>
      <c r="BW38" s="377"/>
      <c r="BX38" s="377"/>
      <c r="BY38" s="377"/>
      <c r="BZ38" s="377"/>
      <c r="CA38" s="377"/>
      <c r="CB38" s="377"/>
      <c r="CC38" s="377"/>
      <c r="CD38" s="377"/>
      <c r="CE38" s="377"/>
      <c r="CF38" s="377"/>
      <c r="CG38" s="377"/>
      <c r="CH38" s="377"/>
      <c r="CI38" s="377"/>
      <c r="CJ38" s="377"/>
      <c r="CK38" s="377"/>
      <c r="CL38" s="377"/>
      <c r="CM38" s="377"/>
      <c r="CN38" s="377"/>
      <c r="CO38" s="377"/>
      <c r="CP38" s="377"/>
      <c r="CQ38" s="377"/>
      <c r="CR38" s="377"/>
      <c r="CS38" s="377"/>
      <c r="CT38" s="377"/>
      <c r="CU38" s="377"/>
      <c r="CV38" s="377"/>
      <c r="CW38" s="377"/>
      <c r="CX38" s="377"/>
      <c r="CY38" s="377"/>
      <c r="CZ38" s="377"/>
      <c r="DA38" s="377"/>
      <c r="DB38" s="377"/>
      <c r="DC38" s="377"/>
      <c r="DD38" s="377"/>
      <c r="DE38" s="377"/>
      <c r="DF38" s="377"/>
      <c r="DG38" s="377"/>
      <c r="DH38" s="377"/>
      <c r="DI38" s="377"/>
      <c r="DJ38" s="377"/>
      <c r="DK38" s="377"/>
      <c r="DL38" s="377"/>
      <c r="DM38" s="377"/>
      <c r="DN38" s="377"/>
      <c r="DO38" s="377"/>
      <c r="DP38" s="377"/>
      <c r="DQ38" s="377"/>
      <c r="DR38" s="377"/>
      <c r="DS38" s="377"/>
      <c r="DT38" s="377"/>
      <c r="DU38" s="377"/>
      <c r="DV38" s="377"/>
      <c r="DW38" s="377"/>
      <c r="DX38" s="377"/>
      <c r="DY38" s="377"/>
      <c r="DZ38" s="377"/>
      <c r="EA38" s="377"/>
      <c r="EB38" s="377"/>
      <c r="EC38" s="377"/>
      <c r="ED38" s="377"/>
      <c r="EE38" s="377"/>
      <c r="EF38" s="377"/>
      <c r="EG38" s="377"/>
      <c r="EH38" s="377"/>
      <c r="EI38" s="377"/>
      <c r="EJ38" s="377"/>
      <c r="EK38" s="377"/>
      <c r="EL38" s="377"/>
      <c r="EM38" s="377"/>
      <c r="EN38" s="377"/>
      <c r="EO38" s="377"/>
      <c r="EP38" s="377"/>
      <c r="EQ38" s="377"/>
      <c r="ER38" s="377"/>
      <c r="ES38" s="377"/>
      <c r="ET38" s="377"/>
      <c r="EU38" s="377"/>
      <c r="EV38" s="377"/>
      <c r="EW38" s="377"/>
      <c r="EX38" s="377"/>
      <c r="EY38" s="377"/>
      <c r="EZ38" s="377"/>
      <c r="FA38" s="377"/>
      <c r="FB38" s="377"/>
      <c r="FC38" s="377"/>
      <c r="FD38" s="377"/>
      <c r="FE38" s="377"/>
      <c r="FF38" s="377"/>
      <c r="FG38" s="377"/>
      <c r="FH38" s="377"/>
      <c r="FI38" s="377"/>
      <c r="FJ38" s="377"/>
      <c r="FK38" s="377"/>
      <c r="FL38" s="377"/>
      <c r="FM38" s="377"/>
      <c r="FN38" s="377"/>
      <c r="FO38" s="377"/>
      <c r="FP38" s="377"/>
      <c r="FQ38" s="377"/>
      <c r="FR38" s="377"/>
      <c r="FS38" s="377"/>
      <c r="FT38" s="377"/>
      <c r="FU38" s="377"/>
      <c r="FV38" s="377"/>
      <c r="FW38" s="377"/>
      <c r="FX38" s="377"/>
      <c r="FY38" s="377"/>
      <c r="FZ38" s="377"/>
      <c r="GA38" s="377"/>
      <c r="GB38" s="377"/>
      <c r="GC38" s="377"/>
      <c r="GD38" s="377"/>
      <c r="GE38" s="377"/>
      <c r="GF38" s="377"/>
      <c r="GG38" s="377"/>
      <c r="GH38" s="377"/>
      <c r="GI38" s="377"/>
      <c r="GJ38" s="377"/>
      <c r="GK38" s="377"/>
      <c r="GL38" s="377"/>
      <c r="GM38" s="377"/>
      <c r="GN38" s="377"/>
      <c r="GO38" s="377"/>
      <c r="GP38" s="377"/>
      <c r="GQ38" s="377"/>
      <c r="GR38" s="377"/>
      <c r="GS38" s="377"/>
    </row>
    <row r="39" spans="1:201">
      <c r="A39" s="913"/>
      <c r="B39" s="914"/>
      <c r="C39" s="915"/>
      <c r="D39" s="901"/>
      <c r="E39" s="884"/>
      <c r="F39" s="869"/>
      <c r="G39" s="828"/>
      <c r="H39" s="828"/>
      <c r="I39" s="828"/>
      <c r="J39" s="828"/>
      <c r="K39" s="870"/>
      <c r="L39" s="828"/>
      <c r="M39" s="828"/>
      <c r="N39" s="828"/>
      <c r="O39" s="828"/>
      <c r="P39" s="828"/>
      <c r="Q39" s="828"/>
      <c r="R39" s="869"/>
      <c r="S39" s="828"/>
      <c r="T39" s="828"/>
      <c r="U39" s="828"/>
      <c r="V39" s="828"/>
      <c r="W39" s="870"/>
      <c r="X39" s="828">
        <v>1</v>
      </c>
      <c r="Y39" s="828"/>
      <c r="Z39" s="828"/>
      <c r="AA39" s="828"/>
      <c r="AB39" s="828"/>
      <c r="AC39" s="828"/>
      <c r="AD39" s="869"/>
      <c r="AE39" s="828"/>
      <c r="AF39" s="828"/>
      <c r="AG39" s="828"/>
      <c r="AH39" s="828"/>
      <c r="AI39" s="828"/>
      <c r="AJ39" s="828"/>
      <c r="AK39" s="828"/>
      <c r="AL39" s="828"/>
      <c r="AM39" s="828"/>
      <c r="AN39" s="828"/>
      <c r="AO39" s="829"/>
      <c r="AP39" s="517"/>
      <c r="AQ39" s="377"/>
      <c r="AR39" s="377"/>
      <c r="AS39" s="377"/>
      <c r="AT39" s="377"/>
      <c r="AU39" s="377"/>
      <c r="AV39" s="377"/>
      <c r="AW39" s="377"/>
      <c r="AX39" s="377"/>
      <c r="AY39" s="377"/>
      <c r="AZ39" s="377"/>
      <c r="BA39" s="377"/>
      <c r="BB39" s="377"/>
      <c r="BC39" s="377"/>
      <c r="BD39" s="377"/>
      <c r="BE39" s="377"/>
      <c r="BF39" s="377"/>
      <c r="BG39" s="377"/>
      <c r="BH39" s="377"/>
      <c r="BI39" s="377"/>
      <c r="BJ39" s="377"/>
      <c r="BK39" s="377"/>
      <c r="BL39" s="377"/>
      <c r="BM39" s="377"/>
      <c r="BN39" s="377"/>
      <c r="BO39" s="377"/>
      <c r="BP39" s="377"/>
      <c r="BQ39" s="377"/>
      <c r="BR39" s="377"/>
      <c r="BS39" s="377"/>
      <c r="BT39" s="377"/>
      <c r="BU39" s="377"/>
      <c r="BV39" s="377"/>
      <c r="BW39" s="377"/>
      <c r="BX39" s="377"/>
      <c r="BY39" s="377"/>
      <c r="BZ39" s="377"/>
      <c r="CA39" s="377"/>
      <c r="CB39" s="377"/>
      <c r="CC39" s="377"/>
      <c r="CD39" s="377"/>
      <c r="CE39" s="377"/>
      <c r="CF39" s="377"/>
      <c r="CG39" s="377"/>
      <c r="CH39" s="377"/>
      <c r="CI39" s="377"/>
      <c r="CJ39" s="377"/>
      <c r="CK39" s="377"/>
      <c r="CL39" s="377"/>
      <c r="CM39" s="377"/>
      <c r="CN39" s="377"/>
      <c r="CO39" s="377"/>
      <c r="CP39" s="377"/>
      <c r="CQ39" s="377"/>
      <c r="CR39" s="377"/>
      <c r="CS39" s="377"/>
      <c r="CT39" s="377"/>
      <c r="CU39" s="377"/>
      <c r="CV39" s="377"/>
      <c r="CW39" s="377"/>
      <c r="CX39" s="377"/>
      <c r="CY39" s="377"/>
      <c r="CZ39" s="377"/>
      <c r="DA39" s="377"/>
      <c r="DB39" s="377"/>
      <c r="DC39" s="377"/>
      <c r="DD39" s="377"/>
      <c r="DE39" s="377"/>
      <c r="DF39" s="377"/>
      <c r="DG39" s="377"/>
      <c r="DH39" s="377"/>
      <c r="DI39" s="377"/>
      <c r="DJ39" s="377"/>
      <c r="DK39" s="377"/>
      <c r="DL39" s="377"/>
      <c r="DM39" s="377"/>
      <c r="DN39" s="377"/>
      <c r="DO39" s="377"/>
      <c r="DP39" s="377"/>
      <c r="DQ39" s="377"/>
      <c r="DR39" s="377"/>
      <c r="DS39" s="377"/>
      <c r="DT39" s="377"/>
      <c r="DU39" s="377"/>
      <c r="DV39" s="377"/>
      <c r="DW39" s="377"/>
      <c r="DX39" s="377"/>
      <c r="DY39" s="377"/>
      <c r="DZ39" s="377"/>
      <c r="EA39" s="377"/>
      <c r="EB39" s="377"/>
      <c r="EC39" s="377"/>
      <c r="ED39" s="377"/>
      <c r="EE39" s="377"/>
      <c r="EF39" s="377"/>
      <c r="EG39" s="377"/>
      <c r="EH39" s="377"/>
      <c r="EI39" s="377"/>
      <c r="EJ39" s="377"/>
      <c r="EK39" s="377"/>
      <c r="EL39" s="377"/>
      <c r="EM39" s="377"/>
      <c r="EN39" s="377"/>
      <c r="EO39" s="377"/>
      <c r="EP39" s="377"/>
      <c r="EQ39" s="377"/>
      <c r="ER39" s="377"/>
      <c r="ES39" s="377"/>
      <c r="ET39" s="377"/>
      <c r="EU39" s="377"/>
      <c r="EV39" s="377"/>
      <c r="EW39" s="377"/>
      <c r="EX39" s="377"/>
      <c r="EY39" s="377"/>
      <c r="EZ39" s="377"/>
      <c r="FA39" s="377"/>
      <c r="FB39" s="377"/>
      <c r="FC39" s="377"/>
      <c r="FD39" s="377"/>
      <c r="FE39" s="377"/>
      <c r="FF39" s="377"/>
      <c r="FG39" s="377"/>
      <c r="FH39" s="377"/>
      <c r="FI39" s="377"/>
      <c r="FJ39" s="377"/>
      <c r="FK39" s="377"/>
      <c r="FL39" s="377"/>
      <c r="FM39" s="377"/>
      <c r="FN39" s="377"/>
      <c r="FO39" s="377"/>
      <c r="FP39" s="377"/>
      <c r="FQ39" s="377"/>
      <c r="FR39" s="377"/>
      <c r="FS39" s="377"/>
      <c r="FT39" s="377"/>
      <c r="FU39" s="377"/>
      <c r="FV39" s="377"/>
      <c r="FW39" s="377"/>
      <c r="FX39" s="377"/>
      <c r="FY39" s="377"/>
      <c r="FZ39" s="377"/>
      <c r="GA39" s="377"/>
      <c r="GB39" s="377"/>
      <c r="GC39" s="377"/>
      <c r="GD39" s="377"/>
      <c r="GE39" s="377"/>
      <c r="GF39" s="377"/>
      <c r="GG39" s="377"/>
      <c r="GH39" s="377"/>
      <c r="GI39" s="377"/>
      <c r="GJ39" s="377"/>
      <c r="GK39" s="377"/>
      <c r="GL39" s="377"/>
      <c r="GM39" s="377"/>
      <c r="GN39" s="377"/>
      <c r="GO39" s="377"/>
      <c r="GP39" s="377"/>
      <c r="GQ39" s="377"/>
      <c r="GR39" s="377"/>
      <c r="GS39" s="377"/>
    </row>
    <row r="40" spans="1:201">
      <c r="A40" s="806">
        <f>'PLANILHA ORÇAMENTARIA'!A87</f>
        <v>10</v>
      </c>
      <c r="B40" s="809" t="str">
        <f>'PLANILHA ORÇAMENTARIA'!B87</f>
        <v>IMPERMEABILIZAÇÃO</v>
      </c>
      <c r="C40" s="812"/>
      <c r="D40" s="815">
        <f>'PLANILHA ORÇAMENTARIA'!F87</f>
        <v>15909.630000000001</v>
      </c>
      <c r="E40" s="818">
        <f>D40/$D$82</f>
        <v>4.6465040948211597E-3</v>
      </c>
      <c r="F40" s="820">
        <f>$D$40*F42</f>
        <v>3977.4075000000003</v>
      </c>
      <c r="G40" s="821"/>
      <c r="H40" s="821"/>
      <c r="I40" s="821"/>
      <c r="J40" s="821"/>
      <c r="K40" s="822"/>
      <c r="L40" s="821">
        <f>$D$40*L42</f>
        <v>9545.7780000000002</v>
      </c>
      <c r="M40" s="821"/>
      <c r="N40" s="821"/>
      <c r="O40" s="821"/>
      <c r="P40" s="821"/>
      <c r="Q40" s="821"/>
      <c r="R40" s="820">
        <f>$D$40*R42</f>
        <v>0</v>
      </c>
      <c r="S40" s="821"/>
      <c r="T40" s="821"/>
      <c r="U40" s="821"/>
      <c r="V40" s="821"/>
      <c r="W40" s="822"/>
      <c r="X40" s="821">
        <f>$D$40*X42</f>
        <v>2386.4445000000001</v>
      </c>
      <c r="Y40" s="821"/>
      <c r="Z40" s="821"/>
      <c r="AA40" s="821"/>
      <c r="AB40" s="821"/>
      <c r="AC40" s="821"/>
      <c r="AD40" s="820">
        <f>$D$40*AD42</f>
        <v>0</v>
      </c>
      <c r="AE40" s="821"/>
      <c r="AF40" s="821"/>
      <c r="AG40" s="821"/>
      <c r="AH40" s="821"/>
      <c r="AI40" s="821"/>
      <c r="AJ40" s="821">
        <f>$D$40*AJ42</f>
        <v>0</v>
      </c>
      <c r="AK40" s="821"/>
      <c r="AL40" s="821"/>
      <c r="AM40" s="821"/>
      <c r="AN40" s="821"/>
      <c r="AO40" s="823"/>
      <c r="AP40" s="51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B40" s="377"/>
      <c r="BC40" s="377"/>
      <c r="BD40" s="377"/>
      <c r="BE40" s="377"/>
      <c r="BF40" s="377"/>
      <c r="BG40" s="377"/>
      <c r="BH40" s="377"/>
      <c r="BI40" s="377"/>
      <c r="BJ40" s="377"/>
      <c r="BK40" s="377"/>
      <c r="BL40" s="377"/>
      <c r="BM40" s="377"/>
      <c r="BN40" s="377"/>
      <c r="BO40" s="377"/>
      <c r="BP40" s="377"/>
      <c r="BQ40" s="377"/>
      <c r="BR40" s="377"/>
      <c r="BS40" s="377"/>
      <c r="BT40" s="377"/>
      <c r="BU40" s="377"/>
      <c r="BV40" s="377"/>
      <c r="BW40" s="377"/>
      <c r="BX40" s="377"/>
      <c r="BY40" s="377"/>
      <c r="BZ40" s="377"/>
      <c r="CA40" s="377"/>
      <c r="CB40" s="377"/>
      <c r="CC40" s="377"/>
      <c r="CD40" s="377"/>
      <c r="CE40" s="377"/>
      <c r="CF40" s="377"/>
      <c r="CG40" s="377"/>
      <c r="CH40" s="377"/>
      <c r="CI40" s="377"/>
      <c r="CJ40" s="377"/>
      <c r="CK40" s="377"/>
      <c r="CL40" s="377"/>
      <c r="CM40" s="377"/>
      <c r="CN40" s="377"/>
      <c r="CO40" s="377"/>
      <c r="CP40" s="377"/>
      <c r="CQ40" s="377"/>
      <c r="CR40" s="377"/>
      <c r="CS40" s="377"/>
      <c r="CT40" s="377"/>
      <c r="CU40" s="377"/>
      <c r="CV40" s="377"/>
      <c r="CW40" s="377"/>
      <c r="CX40" s="377"/>
      <c r="CY40" s="377"/>
      <c r="CZ40" s="377"/>
      <c r="DA40" s="377"/>
      <c r="DB40" s="377"/>
      <c r="DC40" s="377"/>
      <c r="DD40" s="377"/>
      <c r="DE40" s="377"/>
      <c r="DF40" s="377"/>
      <c r="DG40" s="377"/>
      <c r="DH40" s="377"/>
      <c r="DI40" s="377"/>
      <c r="DJ40" s="377"/>
      <c r="DK40" s="377"/>
      <c r="DL40" s="377"/>
      <c r="DM40" s="377"/>
      <c r="DN40" s="377"/>
      <c r="DO40" s="377"/>
      <c r="DP40" s="377"/>
      <c r="DQ40" s="377"/>
      <c r="DR40" s="377"/>
      <c r="DS40" s="377"/>
      <c r="DT40" s="377"/>
      <c r="DU40" s="377"/>
      <c r="DV40" s="377"/>
      <c r="DW40" s="377"/>
      <c r="DX40" s="377"/>
      <c r="DY40" s="377"/>
      <c r="DZ40" s="377"/>
      <c r="EA40" s="377"/>
      <c r="EB40" s="377"/>
      <c r="EC40" s="377"/>
      <c r="ED40" s="377"/>
      <c r="EE40" s="377"/>
      <c r="EF40" s="377"/>
      <c r="EG40" s="377"/>
      <c r="EH40" s="377"/>
      <c r="EI40" s="377"/>
      <c r="EJ40" s="377"/>
      <c r="EK40" s="377"/>
      <c r="EL40" s="377"/>
      <c r="EM40" s="377"/>
      <c r="EN40" s="377"/>
      <c r="EO40" s="377"/>
      <c r="EP40" s="377"/>
      <c r="EQ40" s="377"/>
      <c r="ER40" s="377"/>
      <c r="ES40" s="377"/>
      <c r="ET40" s="377"/>
      <c r="EU40" s="377"/>
      <c r="EV40" s="377"/>
      <c r="EW40" s="377"/>
      <c r="EX40" s="377"/>
      <c r="EY40" s="377"/>
      <c r="EZ40" s="377"/>
      <c r="FA40" s="377"/>
      <c r="FB40" s="377"/>
      <c r="FC40" s="377"/>
      <c r="FD40" s="377"/>
      <c r="FE40" s="377"/>
      <c r="FF40" s="377"/>
      <c r="FG40" s="377"/>
      <c r="FH40" s="377"/>
      <c r="FI40" s="377"/>
      <c r="FJ40" s="377"/>
      <c r="FK40" s="377"/>
      <c r="FL40" s="377"/>
      <c r="FM40" s="377"/>
      <c r="FN40" s="377"/>
      <c r="FO40" s="377"/>
      <c r="FP40" s="377"/>
      <c r="FQ40" s="377"/>
      <c r="FR40" s="377"/>
      <c r="FS40" s="377"/>
      <c r="FT40" s="377"/>
      <c r="FU40" s="377"/>
      <c r="FV40" s="377"/>
      <c r="FW40" s="377"/>
      <c r="FX40" s="377"/>
      <c r="FY40" s="377"/>
      <c r="FZ40" s="377"/>
      <c r="GA40" s="377"/>
      <c r="GB40" s="377"/>
      <c r="GC40" s="377"/>
      <c r="GD40" s="377"/>
      <c r="GE40" s="377"/>
      <c r="GF40" s="377"/>
      <c r="GG40" s="377"/>
      <c r="GH40" s="377"/>
      <c r="GI40" s="377"/>
      <c r="GJ40" s="377"/>
      <c r="GK40" s="377"/>
      <c r="GL40" s="377"/>
      <c r="GM40" s="377"/>
      <c r="GN40" s="377"/>
      <c r="GO40" s="377"/>
      <c r="GP40" s="377"/>
      <c r="GQ40" s="377"/>
      <c r="GR40" s="377"/>
      <c r="GS40" s="377"/>
    </row>
    <row r="41" spans="1:201" ht="5.0999999999999996" customHeight="1">
      <c r="A41" s="807"/>
      <c r="B41" s="810"/>
      <c r="C41" s="813"/>
      <c r="D41" s="816"/>
      <c r="E41" s="818"/>
      <c r="F41" s="725">
        <v>1</v>
      </c>
      <c r="G41" s="726">
        <v>1</v>
      </c>
      <c r="H41" s="726">
        <v>1</v>
      </c>
      <c r="I41" s="726">
        <v>1</v>
      </c>
      <c r="J41" s="726">
        <v>1</v>
      </c>
      <c r="K41" s="726">
        <v>1</v>
      </c>
      <c r="L41" s="727">
        <v>1</v>
      </c>
      <c r="M41" s="726">
        <v>1</v>
      </c>
      <c r="N41" s="726">
        <v>1</v>
      </c>
      <c r="O41" s="726">
        <v>1</v>
      </c>
      <c r="P41" s="726">
        <v>1</v>
      </c>
      <c r="Q41" s="728">
        <v>1</v>
      </c>
      <c r="R41" s="725"/>
      <c r="S41" s="726"/>
      <c r="T41" s="726"/>
      <c r="U41" s="726"/>
      <c r="V41" s="726"/>
      <c r="W41" s="726"/>
      <c r="X41" s="727">
        <v>1</v>
      </c>
      <c r="Y41" s="726">
        <v>1</v>
      </c>
      <c r="Z41" s="726">
        <v>1</v>
      </c>
      <c r="AA41" s="726">
        <v>1</v>
      </c>
      <c r="AB41" s="726">
        <v>1</v>
      </c>
      <c r="AC41" s="728">
        <v>1</v>
      </c>
      <c r="AD41" s="729"/>
      <c r="AE41" s="730"/>
      <c r="AF41" s="730"/>
      <c r="AG41" s="730"/>
      <c r="AH41" s="730"/>
      <c r="AI41" s="730"/>
      <c r="AJ41" s="731"/>
      <c r="AK41" s="730"/>
      <c r="AL41" s="730"/>
      <c r="AM41" s="730"/>
      <c r="AN41" s="730"/>
      <c r="AO41" s="732"/>
      <c r="AP41" s="517"/>
      <c r="AQ41" s="377"/>
      <c r="AR41" s="377"/>
      <c r="AS41" s="377"/>
      <c r="AT41" s="377"/>
      <c r="AU41" s="377"/>
      <c r="AV41" s="377"/>
      <c r="AW41" s="377"/>
      <c r="AX41" s="377"/>
      <c r="AY41" s="377"/>
      <c r="AZ41" s="377"/>
      <c r="BA41" s="377"/>
      <c r="BB41" s="377"/>
      <c r="BC41" s="377"/>
      <c r="BD41" s="377"/>
      <c r="BE41" s="377"/>
      <c r="BF41" s="377"/>
      <c r="BG41" s="377"/>
      <c r="BH41" s="377"/>
      <c r="BI41" s="377"/>
      <c r="BJ41" s="377"/>
      <c r="BK41" s="377"/>
      <c r="BL41" s="377"/>
      <c r="BM41" s="377"/>
      <c r="BN41" s="377"/>
      <c r="BO41" s="377"/>
      <c r="BP41" s="377"/>
      <c r="BQ41" s="377"/>
      <c r="BR41" s="377"/>
      <c r="BS41" s="377"/>
      <c r="BT41" s="377"/>
      <c r="BU41" s="377"/>
      <c r="BV41" s="377"/>
      <c r="BW41" s="377"/>
      <c r="BX41" s="377"/>
      <c r="BY41" s="377"/>
      <c r="BZ41" s="377"/>
      <c r="CA41" s="377"/>
      <c r="CB41" s="377"/>
      <c r="CC41" s="377"/>
      <c r="CD41" s="377"/>
      <c r="CE41" s="377"/>
      <c r="CF41" s="377"/>
      <c r="CG41" s="377"/>
      <c r="CH41" s="377"/>
      <c r="CI41" s="377"/>
      <c r="CJ41" s="377"/>
      <c r="CK41" s="377"/>
      <c r="CL41" s="377"/>
      <c r="CM41" s="377"/>
      <c r="CN41" s="377"/>
      <c r="CO41" s="377"/>
      <c r="CP41" s="377"/>
      <c r="CQ41" s="377"/>
      <c r="CR41" s="377"/>
      <c r="CS41" s="377"/>
      <c r="CT41" s="377"/>
      <c r="CU41" s="377"/>
      <c r="CV41" s="377"/>
      <c r="CW41" s="377"/>
      <c r="CX41" s="377"/>
      <c r="CY41" s="377"/>
      <c r="CZ41" s="377"/>
      <c r="DA41" s="377"/>
      <c r="DB41" s="377"/>
      <c r="DC41" s="377"/>
      <c r="DD41" s="377"/>
      <c r="DE41" s="377"/>
      <c r="DF41" s="377"/>
      <c r="DG41" s="377"/>
      <c r="DH41" s="377"/>
      <c r="DI41" s="377"/>
      <c r="DJ41" s="377"/>
      <c r="DK41" s="377"/>
      <c r="DL41" s="377"/>
      <c r="DM41" s="377"/>
      <c r="DN41" s="377"/>
      <c r="DO41" s="377"/>
      <c r="DP41" s="377"/>
      <c r="DQ41" s="377"/>
      <c r="DR41" s="377"/>
      <c r="DS41" s="377"/>
      <c r="DT41" s="377"/>
      <c r="DU41" s="377"/>
      <c r="DV41" s="377"/>
      <c r="DW41" s="377"/>
      <c r="DX41" s="377"/>
      <c r="DY41" s="377"/>
      <c r="DZ41" s="377"/>
      <c r="EA41" s="377"/>
      <c r="EB41" s="377"/>
      <c r="EC41" s="377"/>
      <c r="ED41" s="377"/>
      <c r="EE41" s="377"/>
      <c r="EF41" s="377"/>
      <c r="EG41" s="377"/>
      <c r="EH41" s="377"/>
      <c r="EI41" s="377"/>
      <c r="EJ41" s="377"/>
      <c r="EK41" s="377"/>
      <c r="EL41" s="377"/>
      <c r="EM41" s="377"/>
      <c r="EN41" s="377"/>
      <c r="EO41" s="377"/>
      <c r="EP41" s="377"/>
      <c r="EQ41" s="377"/>
      <c r="ER41" s="377"/>
      <c r="ES41" s="377"/>
      <c r="ET41" s="377"/>
      <c r="EU41" s="377"/>
      <c r="EV41" s="377"/>
      <c r="EW41" s="377"/>
      <c r="EX41" s="377"/>
      <c r="EY41" s="377"/>
      <c r="EZ41" s="377"/>
      <c r="FA41" s="377"/>
      <c r="FB41" s="377"/>
      <c r="FC41" s="377"/>
      <c r="FD41" s="377"/>
      <c r="FE41" s="377"/>
      <c r="FF41" s="377"/>
      <c r="FG41" s="377"/>
      <c r="FH41" s="377"/>
      <c r="FI41" s="377"/>
      <c r="FJ41" s="377"/>
      <c r="FK41" s="377"/>
      <c r="FL41" s="377"/>
      <c r="FM41" s="377"/>
      <c r="FN41" s="377"/>
      <c r="FO41" s="377"/>
      <c r="FP41" s="377"/>
      <c r="FQ41" s="377"/>
      <c r="FR41" s="377"/>
      <c r="FS41" s="377"/>
      <c r="FT41" s="377"/>
      <c r="FU41" s="377"/>
      <c r="FV41" s="377"/>
      <c r="FW41" s="377"/>
      <c r="FX41" s="377"/>
      <c r="FY41" s="377"/>
      <c r="FZ41" s="377"/>
      <c r="GA41" s="377"/>
      <c r="GB41" s="377"/>
      <c r="GC41" s="377"/>
      <c r="GD41" s="377"/>
      <c r="GE41" s="377"/>
      <c r="GF41" s="377"/>
      <c r="GG41" s="377"/>
      <c r="GH41" s="377"/>
      <c r="GI41" s="377"/>
      <c r="GJ41" s="377"/>
      <c r="GK41" s="377"/>
      <c r="GL41" s="377"/>
      <c r="GM41" s="377"/>
      <c r="GN41" s="377"/>
      <c r="GO41" s="377"/>
      <c r="GP41" s="377"/>
      <c r="GQ41" s="377"/>
      <c r="GR41" s="377"/>
      <c r="GS41" s="377"/>
    </row>
    <row r="42" spans="1:201">
      <c r="A42" s="808"/>
      <c r="B42" s="811"/>
      <c r="C42" s="814"/>
      <c r="D42" s="817"/>
      <c r="E42" s="819"/>
      <c r="F42" s="824">
        <v>0.25</v>
      </c>
      <c r="G42" s="825"/>
      <c r="H42" s="825"/>
      <c r="I42" s="825"/>
      <c r="J42" s="825"/>
      <c r="K42" s="826"/>
      <c r="L42" s="825">
        <v>0.6</v>
      </c>
      <c r="M42" s="825"/>
      <c r="N42" s="825"/>
      <c r="O42" s="825"/>
      <c r="P42" s="825"/>
      <c r="Q42" s="825"/>
      <c r="R42" s="824"/>
      <c r="S42" s="825"/>
      <c r="T42" s="825"/>
      <c r="U42" s="825"/>
      <c r="V42" s="825"/>
      <c r="W42" s="826"/>
      <c r="X42" s="825">
        <v>0.15</v>
      </c>
      <c r="Y42" s="825"/>
      <c r="Z42" s="825"/>
      <c r="AA42" s="825"/>
      <c r="AB42" s="825"/>
      <c r="AC42" s="825"/>
      <c r="AD42" s="824"/>
      <c r="AE42" s="825"/>
      <c r="AF42" s="825"/>
      <c r="AG42" s="825"/>
      <c r="AH42" s="825"/>
      <c r="AI42" s="825"/>
      <c r="AJ42" s="825"/>
      <c r="AK42" s="825"/>
      <c r="AL42" s="825"/>
      <c r="AM42" s="825"/>
      <c r="AN42" s="825"/>
      <c r="AO42" s="827"/>
      <c r="AP42" s="517"/>
      <c r="AQ42" s="377"/>
      <c r="AR42" s="377"/>
      <c r="AS42" s="377"/>
      <c r="AT42" s="377"/>
      <c r="AU42" s="377"/>
      <c r="AV42" s="377"/>
      <c r="AW42" s="377"/>
      <c r="AX42" s="377"/>
      <c r="AY42" s="377"/>
      <c r="AZ42" s="377"/>
      <c r="BA42" s="377"/>
      <c r="BB42" s="377"/>
      <c r="BC42" s="377"/>
      <c r="BD42" s="377"/>
      <c r="BE42" s="377"/>
      <c r="BF42" s="377"/>
      <c r="BG42" s="377"/>
      <c r="BH42" s="377"/>
      <c r="BI42" s="377"/>
      <c r="BJ42" s="377"/>
      <c r="BK42" s="377"/>
      <c r="BL42" s="377"/>
      <c r="BM42" s="377"/>
      <c r="BN42" s="377"/>
      <c r="BO42" s="377"/>
      <c r="BP42" s="377"/>
      <c r="BQ42" s="377"/>
      <c r="BR42" s="377"/>
      <c r="BS42" s="377"/>
      <c r="BT42" s="377"/>
      <c r="BU42" s="377"/>
      <c r="BV42" s="377"/>
      <c r="BW42" s="377"/>
      <c r="BX42" s="377"/>
      <c r="BY42" s="377"/>
      <c r="BZ42" s="377"/>
      <c r="CA42" s="377"/>
      <c r="CB42" s="377"/>
      <c r="CC42" s="377"/>
      <c r="CD42" s="377"/>
      <c r="CE42" s="377"/>
      <c r="CF42" s="377"/>
      <c r="CG42" s="377"/>
      <c r="CH42" s="377"/>
      <c r="CI42" s="377"/>
      <c r="CJ42" s="377"/>
      <c r="CK42" s="377"/>
      <c r="CL42" s="377"/>
      <c r="CM42" s="377"/>
      <c r="CN42" s="377"/>
      <c r="CO42" s="377"/>
      <c r="CP42" s="377"/>
      <c r="CQ42" s="377"/>
      <c r="CR42" s="377"/>
      <c r="CS42" s="377"/>
      <c r="CT42" s="377"/>
      <c r="CU42" s="377"/>
      <c r="CV42" s="377"/>
      <c r="CW42" s="377"/>
      <c r="CX42" s="377"/>
      <c r="CY42" s="377"/>
      <c r="CZ42" s="377"/>
      <c r="DA42" s="377"/>
      <c r="DB42" s="377"/>
      <c r="DC42" s="377"/>
      <c r="DD42" s="377"/>
      <c r="DE42" s="377"/>
      <c r="DF42" s="377"/>
      <c r="DG42" s="377"/>
      <c r="DH42" s="377"/>
      <c r="DI42" s="377"/>
      <c r="DJ42" s="377"/>
      <c r="DK42" s="377"/>
      <c r="DL42" s="377"/>
      <c r="DM42" s="377"/>
      <c r="DN42" s="377"/>
      <c r="DO42" s="377"/>
      <c r="DP42" s="377"/>
      <c r="DQ42" s="377"/>
      <c r="DR42" s="377"/>
      <c r="DS42" s="377"/>
      <c r="DT42" s="377"/>
      <c r="DU42" s="377"/>
      <c r="DV42" s="377"/>
      <c r="DW42" s="377"/>
      <c r="DX42" s="377"/>
      <c r="DY42" s="377"/>
      <c r="DZ42" s="377"/>
      <c r="EA42" s="377"/>
      <c r="EB42" s="377"/>
      <c r="EC42" s="377"/>
      <c r="ED42" s="377"/>
      <c r="EE42" s="377"/>
      <c r="EF42" s="377"/>
      <c r="EG42" s="377"/>
      <c r="EH42" s="377"/>
      <c r="EI42" s="377"/>
      <c r="EJ42" s="377"/>
      <c r="EK42" s="377"/>
      <c r="EL42" s="377"/>
      <c r="EM42" s="377"/>
      <c r="EN42" s="377"/>
      <c r="EO42" s="377"/>
      <c r="EP42" s="377"/>
      <c r="EQ42" s="377"/>
      <c r="ER42" s="377"/>
      <c r="ES42" s="377"/>
      <c r="ET42" s="377"/>
      <c r="EU42" s="377"/>
      <c r="EV42" s="377"/>
      <c r="EW42" s="377"/>
      <c r="EX42" s="377"/>
      <c r="EY42" s="377"/>
      <c r="EZ42" s="377"/>
      <c r="FA42" s="377"/>
      <c r="FB42" s="377"/>
      <c r="FC42" s="377"/>
      <c r="FD42" s="377"/>
      <c r="FE42" s="377"/>
      <c r="FF42" s="377"/>
      <c r="FG42" s="377"/>
      <c r="FH42" s="377"/>
      <c r="FI42" s="377"/>
      <c r="FJ42" s="377"/>
      <c r="FK42" s="377"/>
      <c r="FL42" s="377"/>
      <c r="FM42" s="377"/>
      <c r="FN42" s="377"/>
      <c r="FO42" s="377"/>
      <c r="FP42" s="377"/>
      <c r="FQ42" s="377"/>
      <c r="FR42" s="377"/>
      <c r="FS42" s="377"/>
      <c r="FT42" s="377"/>
      <c r="FU42" s="377"/>
      <c r="FV42" s="377"/>
      <c r="FW42" s="377"/>
      <c r="FX42" s="377"/>
      <c r="FY42" s="377"/>
      <c r="FZ42" s="377"/>
      <c r="GA42" s="377"/>
      <c r="GB42" s="377"/>
      <c r="GC42" s="377"/>
      <c r="GD42" s="377"/>
      <c r="GE42" s="377"/>
      <c r="GF42" s="377"/>
      <c r="GG42" s="377"/>
      <c r="GH42" s="377"/>
      <c r="GI42" s="377"/>
      <c r="GJ42" s="377"/>
      <c r="GK42" s="377"/>
      <c r="GL42" s="377"/>
      <c r="GM42" s="377"/>
      <c r="GN42" s="377"/>
      <c r="GO42" s="377"/>
      <c r="GP42" s="377"/>
      <c r="GQ42" s="377"/>
      <c r="GR42" s="377"/>
      <c r="GS42" s="377"/>
    </row>
    <row r="43" spans="1:201">
      <c r="A43" s="872">
        <f>'PLANILHA ORÇAMENTARIA'!A94</f>
        <v>11</v>
      </c>
      <c r="B43" s="905" t="str">
        <f>'PLANILHA ORÇAMENTARIA'!B94</f>
        <v>PAREDES E PAINÉIS</v>
      </c>
      <c r="C43" s="899"/>
      <c r="D43" s="880">
        <f>'PLANILHA ORÇAMENTARIA'!F94</f>
        <v>121345.39000000001</v>
      </c>
      <c r="E43" s="883">
        <f>D43/$D$82</f>
        <v>3.543965834043096E-2</v>
      </c>
      <c r="F43" s="885">
        <f>$D$43*F45</f>
        <v>0</v>
      </c>
      <c r="G43" s="830"/>
      <c r="H43" s="830"/>
      <c r="I43" s="830"/>
      <c r="J43" s="830"/>
      <c r="K43" s="886"/>
      <c r="L43" s="830">
        <f>$D$43*L45</f>
        <v>0</v>
      </c>
      <c r="M43" s="830"/>
      <c r="N43" s="830"/>
      <c r="O43" s="830"/>
      <c r="P43" s="830"/>
      <c r="Q43" s="830"/>
      <c r="R43" s="885">
        <f>$D$43*R45</f>
        <v>60672.695000000007</v>
      </c>
      <c r="S43" s="830"/>
      <c r="T43" s="830"/>
      <c r="U43" s="830"/>
      <c r="V43" s="830"/>
      <c r="W43" s="886"/>
      <c r="X43" s="830">
        <f>$D$43*X45</f>
        <v>60672.695000000007</v>
      </c>
      <c r="Y43" s="830"/>
      <c r="Z43" s="830"/>
      <c r="AA43" s="830"/>
      <c r="AB43" s="830"/>
      <c r="AC43" s="830"/>
      <c r="AD43" s="885">
        <f>$D$43*AD45</f>
        <v>0</v>
      </c>
      <c r="AE43" s="830"/>
      <c r="AF43" s="830"/>
      <c r="AG43" s="830"/>
      <c r="AH43" s="830"/>
      <c r="AI43" s="830"/>
      <c r="AJ43" s="830">
        <f>$D$43*AJ45</f>
        <v>0</v>
      </c>
      <c r="AK43" s="830"/>
      <c r="AL43" s="830"/>
      <c r="AM43" s="830"/>
      <c r="AN43" s="830"/>
      <c r="AO43" s="831"/>
      <c r="AP43" s="520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77"/>
      <c r="CG43" s="377"/>
      <c r="CH43" s="377"/>
      <c r="CI43" s="377"/>
      <c r="CJ43" s="377"/>
      <c r="CK43" s="377"/>
      <c r="CL43" s="377"/>
      <c r="CM43" s="377"/>
      <c r="CN43" s="377"/>
      <c r="CO43" s="377"/>
      <c r="CP43" s="377"/>
      <c r="CQ43" s="377"/>
      <c r="CR43" s="377"/>
      <c r="CS43" s="377"/>
      <c r="CT43" s="377"/>
      <c r="CU43" s="377"/>
      <c r="CV43" s="377"/>
      <c r="CW43" s="377"/>
      <c r="CX43" s="377"/>
      <c r="CY43" s="377"/>
      <c r="CZ43" s="377"/>
      <c r="DA43" s="377"/>
      <c r="DB43" s="377"/>
      <c r="DC43" s="377"/>
      <c r="DD43" s="377"/>
      <c r="DE43" s="377"/>
      <c r="DF43" s="377"/>
      <c r="DG43" s="377"/>
      <c r="DH43" s="377"/>
      <c r="DI43" s="377"/>
      <c r="DJ43" s="377"/>
      <c r="DK43" s="377"/>
      <c r="DL43" s="377"/>
      <c r="DM43" s="377"/>
      <c r="DN43" s="377"/>
      <c r="DO43" s="377"/>
      <c r="DP43" s="377"/>
      <c r="DQ43" s="377"/>
      <c r="DR43" s="377"/>
      <c r="DS43" s="377"/>
      <c r="DT43" s="377"/>
      <c r="DU43" s="377"/>
      <c r="DV43" s="377"/>
      <c r="DW43" s="377"/>
      <c r="DX43" s="377"/>
      <c r="DY43" s="377"/>
      <c r="DZ43" s="377"/>
      <c r="EA43" s="377"/>
      <c r="EB43" s="377"/>
      <c r="EC43" s="377"/>
      <c r="ED43" s="377"/>
      <c r="EE43" s="377"/>
      <c r="EF43" s="377"/>
      <c r="EG43" s="377"/>
      <c r="EH43" s="377"/>
      <c r="EI43" s="377"/>
      <c r="EJ43" s="377"/>
      <c r="EK43" s="377"/>
      <c r="EL43" s="377"/>
      <c r="EM43" s="377"/>
      <c r="EN43" s="377"/>
      <c r="EO43" s="377"/>
      <c r="EP43" s="377"/>
      <c r="EQ43" s="377"/>
      <c r="ER43" s="377"/>
      <c r="ES43" s="377"/>
      <c r="ET43" s="377"/>
      <c r="EU43" s="377"/>
      <c r="EV43" s="377"/>
      <c r="EW43" s="377"/>
      <c r="EX43" s="377"/>
      <c r="EY43" s="377"/>
      <c r="EZ43" s="377"/>
      <c r="FA43" s="377"/>
      <c r="FB43" s="377"/>
      <c r="FC43" s="377"/>
      <c r="FD43" s="377"/>
      <c r="FE43" s="377"/>
      <c r="FF43" s="377"/>
      <c r="FG43" s="377"/>
      <c r="FH43" s="377"/>
      <c r="FI43" s="377"/>
      <c r="FJ43" s="377"/>
      <c r="FK43" s="377"/>
      <c r="FL43" s="377"/>
      <c r="FM43" s="377"/>
      <c r="FN43" s="377"/>
      <c r="FO43" s="377"/>
      <c r="FP43" s="377"/>
      <c r="FQ43" s="377"/>
      <c r="FR43" s="377"/>
      <c r="FS43" s="377"/>
      <c r="FT43" s="377"/>
      <c r="FU43" s="377"/>
      <c r="FV43" s="377"/>
      <c r="FW43" s="377"/>
      <c r="FX43" s="377"/>
      <c r="FY43" s="377"/>
      <c r="FZ43" s="377"/>
      <c r="GA43" s="377"/>
      <c r="GB43" s="377"/>
      <c r="GC43" s="377"/>
      <c r="GD43" s="377"/>
      <c r="GE43" s="377"/>
      <c r="GF43" s="377"/>
      <c r="GG43" s="377"/>
      <c r="GH43" s="377"/>
      <c r="GI43" s="377"/>
      <c r="GJ43" s="377"/>
      <c r="GK43" s="377"/>
      <c r="GL43" s="377"/>
      <c r="GM43" s="377"/>
      <c r="GN43" s="377"/>
      <c r="GO43" s="377"/>
      <c r="GP43" s="377"/>
      <c r="GQ43" s="377"/>
      <c r="GR43" s="377"/>
      <c r="GS43" s="377"/>
    </row>
    <row r="44" spans="1:201" ht="5.0999999999999996" customHeight="1">
      <c r="A44" s="872"/>
      <c r="B44" s="905"/>
      <c r="C44" s="899"/>
      <c r="D44" s="880"/>
      <c r="E44" s="883"/>
      <c r="F44" s="718"/>
      <c r="G44" s="719"/>
      <c r="H44" s="719"/>
      <c r="I44" s="719"/>
      <c r="J44" s="719"/>
      <c r="K44" s="719"/>
      <c r="L44" s="720"/>
      <c r="M44" s="719"/>
      <c r="N44" s="719"/>
      <c r="O44" s="719"/>
      <c r="P44" s="719"/>
      <c r="Q44" s="721"/>
      <c r="R44" s="718">
        <v>1</v>
      </c>
      <c r="S44" s="719">
        <v>1</v>
      </c>
      <c r="T44" s="719">
        <v>1</v>
      </c>
      <c r="U44" s="719">
        <v>1</v>
      </c>
      <c r="V44" s="719">
        <v>1</v>
      </c>
      <c r="W44" s="719">
        <v>1</v>
      </c>
      <c r="X44" s="720">
        <v>1</v>
      </c>
      <c r="Y44" s="719">
        <v>1</v>
      </c>
      <c r="Z44" s="719">
        <v>1</v>
      </c>
      <c r="AA44" s="719">
        <v>1</v>
      </c>
      <c r="AB44" s="719">
        <v>1</v>
      </c>
      <c r="AC44" s="721">
        <v>1</v>
      </c>
      <c r="AD44" s="733">
        <v>1</v>
      </c>
      <c r="AE44" s="723">
        <v>1</v>
      </c>
      <c r="AF44" s="723">
        <v>1</v>
      </c>
      <c r="AG44" s="723">
        <v>1</v>
      </c>
      <c r="AH44" s="723">
        <v>1</v>
      </c>
      <c r="AI44" s="723">
        <v>1</v>
      </c>
      <c r="AJ44" s="722">
        <v>1</v>
      </c>
      <c r="AK44" s="723">
        <v>1</v>
      </c>
      <c r="AL44" s="723">
        <v>1</v>
      </c>
      <c r="AM44" s="723">
        <v>1</v>
      </c>
      <c r="AN44" s="723">
        <v>1</v>
      </c>
      <c r="AO44" s="724">
        <v>1</v>
      </c>
      <c r="AP44" s="517"/>
      <c r="AQ44" s="377"/>
      <c r="AR44" s="377"/>
      <c r="AS44" s="377"/>
      <c r="AT44" s="377"/>
      <c r="AU44" s="377"/>
      <c r="AV44" s="377"/>
      <c r="AW44" s="377"/>
      <c r="AX44" s="377"/>
      <c r="AY44" s="377"/>
      <c r="AZ44" s="377"/>
      <c r="BA44" s="377"/>
      <c r="BB44" s="377"/>
      <c r="BC44" s="377"/>
      <c r="BD44" s="377"/>
      <c r="BE44" s="377"/>
      <c r="BF44" s="377"/>
      <c r="BG44" s="377"/>
      <c r="BH44" s="377"/>
      <c r="BI44" s="377"/>
      <c r="BJ44" s="377"/>
      <c r="BK44" s="377"/>
      <c r="BL44" s="377"/>
      <c r="BM44" s="377"/>
      <c r="BN44" s="377"/>
      <c r="BO44" s="377"/>
      <c r="BP44" s="377"/>
      <c r="BQ44" s="377"/>
      <c r="BR44" s="377"/>
      <c r="BS44" s="377"/>
      <c r="BT44" s="377"/>
      <c r="BU44" s="377"/>
      <c r="BV44" s="377"/>
      <c r="BW44" s="377"/>
      <c r="BX44" s="377"/>
      <c r="BY44" s="377"/>
      <c r="BZ44" s="377"/>
      <c r="CA44" s="377"/>
      <c r="CB44" s="377"/>
      <c r="CC44" s="377"/>
      <c r="CD44" s="377"/>
      <c r="CE44" s="377"/>
      <c r="CF44" s="377"/>
      <c r="CG44" s="377"/>
      <c r="CH44" s="377"/>
      <c r="CI44" s="377"/>
      <c r="CJ44" s="377"/>
      <c r="CK44" s="377"/>
      <c r="CL44" s="377"/>
      <c r="CM44" s="377"/>
      <c r="CN44" s="377"/>
      <c r="CO44" s="377"/>
      <c r="CP44" s="377"/>
      <c r="CQ44" s="377"/>
      <c r="CR44" s="377"/>
      <c r="CS44" s="377"/>
      <c r="CT44" s="377"/>
      <c r="CU44" s="377"/>
      <c r="CV44" s="377"/>
      <c r="CW44" s="377"/>
      <c r="CX44" s="377"/>
      <c r="CY44" s="377"/>
      <c r="CZ44" s="377"/>
      <c r="DA44" s="377"/>
      <c r="DB44" s="377"/>
      <c r="DC44" s="377"/>
      <c r="DD44" s="377"/>
      <c r="DE44" s="377"/>
      <c r="DF44" s="377"/>
      <c r="DG44" s="377"/>
      <c r="DH44" s="377"/>
      <c r="DI44" s="377"/>
      <c r="DJ44" s="377"/>
      <c r="DK44" s="377"/>
      <c r="DL44" s="377"/>
      <c r="DM44" s="377"/>
      <c r="DN44" s="377"/>
      <c r="DO44" s="377"/>
      <c r="DP44" s="377"/>
      <c r="DQ44" s="377"/>
      <c r="DR44" s="377"/>
      <c r="DS44" s="377"/>
      <c r="DT44" s="377"/>
      <c r="DU44" s="377"/>
      <c r="DV44" s="377"/>
      <c r="DW44" s="377"/>
      <c r="DX44" s="377"/>
      <c r="DY44" s="377"/>
      <c r="DZ44" s="377"/>
      <c r="EA44" s="377"/>
      <c r="EB44" s="377"/>
      <c r="EC44" s="377"/>
      <c r="ED44" s="377"/>
      <c r="EE44" s="377"/>
      <c r="EF44" s="377"/>
      <c r="EG44" s="377"/>
      <c r="EH44" s="377"/>
      <c r="EI44" s="377"/>
      <c r="EJ44" s="377"/>
      <c r="EK44" s="377"/>
      <c r="EL44" s="377"/>
      <c r="EM44" s="377"/>
      <c r="EN44" s="377"/>
      <c r="EO44" s="377"/>
      <c r="EP44" s="377"/>
      <c r="EQ44" s="377"/>
      <c r="ER44" s="377"/>
      <c r="ES44" s="377"/>
      <c r="ET44" s="377"/>
      <c r="EU44" s="377"/>
      <c r="EV44" s="377"/>
      <c r="EW44" s="377"/>
      <c r="EX44" s="377"/>
      <c r="EY44" s="377"/>
      <c r="EZ44" s="377"/>
      <c r="FA44" s="377"/>
      <c r="FB44" s="377"/>
      <c r="FC44" s="377"/>
      <c r="FD44" s="377"/>
      <c r="FE44" s="377"/>
      <c r="FF44" s="377"/>
      <c r="FG44" s="377"/>
      <c r="FH44" s="377"/>
      <c r="FI44" s="377"/>
      <c r="FJ44" s="377"/>
      <c r="FK44" s="377"/>
      <c r="FL44" s="377"/>
      <c r="FM44" s="377"/>
      <c r="FN44" s="377"/>
      <c r="FO44" s="377"/>
      <c r="FP44" s="377"/>
      <c r="FQ44" s="377"/>
      <c r="FR44" s="377"/>
      <c r="FS44" s="377"/>
      <c r="FT44" s="377"/>
      <c r="FU44" s="377"/>
      <c r="FV44" s="377"/>
      <c r="FW44" s="377"/>
      <c r="FX44" s="377"/>
      <c r="FY44" s="377"/>
      <c r="FZ44" s="377"/>
      <c r="GA44" s="377"/>
      <c r="GB44" s="377"/>
      <c r="GC44" s="377"/>
      <c r="GD44" s="377"/>
      <c r="GE44" s="377"/>
      <c r="GF44" s="377"/>
      <c r="GG44" s="377"/>
      <c r="GH44" s="377"/>
      <c r="GI44" s="377"/>
      <c r="GJ44" s="377"/>
      <c r="GK44" s="377"/>
      <c r="GL44" s="377"/>
      <c r="GM44" s="377"/>
      <c r="GN44" s="377"/>
      <c r="GO44" s="377"/>
      <c r="GP44" s="377"/>
      <c r="GQ44" s="377"/>
      <c r="GR44" s="377"/>
      <c r="GS44" s="377"/>
    </row>
    <row r="45" spans="1:201">
      <c r="A45" s="913"/>
      <c r="B45" s="914"/>
      <c r="C45" s="915"/>
      <c r="D45" s="901"/>
      <c r="E45" s="884"/>
      <c r="F45" s="869"/>
      <c r="G45" s="828"/>
      <c r="H45" s="828"/>
      <c r="I45" s="828"/>
      <c r="J45" s="828"/>
      <c r="K45" s="870"/>
      <c r="L45" s="828"/>
      <c r="M45" s="828"/>
      <c r="N45" s="828"/>
      <c r="O45" s="828"/>
      <c r="P45" s="828"/>
      <c r="Q45" s="828"/>
      <c r="R45" s="869">
        <v>0.5</v>
      </c>
      <c r="S45" s="828"/>
      <c r="T45" s="828"/>
      <c r="U45" s="828"/>
      <c r="V45" s="828"/>
      <c r="W45" s="870"/>
      <c r="X45" s="828">
        <v>0.5</v>
      </c>
      <c r="Y45" s="828"/>
      <c r="Z45" s="828"/>
      <c r="AA45" s="828"/>
      <c r="AB45" s="828"/>
      <c r="AC45" s="828"/>
      <c r="AD45" s="869"/>
      <c r="AE45" s="828"/>
      <c r="AF45" s="828"/>
      <c r="AG45" s="828"/>
      <c r="AH45" s="828"/>
      <c r="AI45" s="828"/>
      <c r="AJ45" s="828"/>
      <c r="AK45" s="828"/>
      <c r="AL45" s="828"/>
      <c r="AM45" s="828"/>
      <c r="AN45" s="828"/>
      <c r="AO45" s="829"/>
      <c r="AP45" s="517"/>
      <c r="AQ45" s="377"/>
      <c r="AR45" s="377"/>
      <c r="AS45" s="377"/>
      <c r="AT45" s="377"/>
      <c r="AU45" s="377"/>
      <c r="AV45" s="377"/>
      <c r="AW45" s="377"/>
      <c r="AX45" s="377"/>
      <c r="AY45" s="377"/>
      <c r="AZ45" s="377"/>
      <c r="BA45" s="377"/>
      <c r="BB45" s="377"/>
      <c r="BC45" s="377"/>
      <c r="BD45" s="377"/>
      <c r="BE45" s="377"/>
      <c r="BF45" s="377"/>
      <c r="BG45" s="377"/>
      <c r="BH45" s="377"/>
      <c r="BI45" s="377"/>
      <c r="BJ45" s="377"/>
      <c r="BK45" s="377"/>
      <c r="BL45" s="377"/>
      <c r="BM45" s="377"/>
      <c r="BN45" s="377"/>
      <c r="BO45" s="377"/>
      <c r="BP45" s="377"/>
      <c r="BQ45" s="377"/>
      <c r="BR45" s="377"/>
      <c r="BS45" s="377"/>
      <c r="BT45" s="377"/>
      <c r="BU45" s="377"/>
      <c r="BV45" s="377"/>
      <c r="BW45" s="377"/>
      <c r="BX45" s="377"/>
      <c r="BY45" s="377"/>
      <c r="BZ45" s="377"/>
      <c r="CA45" s="377"/>
      <c r="CB45" s="377"/>
      <c r="CC45" s="377"/>
      <c r="CD45" s="377"/>
      <c r="CE45" s="377"/>
      <c r="CF45" s="377"/>
      <c r="CG45" s="377"/>
      <c r="CH45" s="377"/>
      <c r="CI45" s="377"/>
      <c r="CJ45" s="377"/>
      <c r="CK45" s="377"/>
      <c r="CL45" s="377"/>
      <c r="CM45" s="377"/>
      <c r="CN45" s="377"/>
      <c r="CO45" s="377"/>
      <c r="CP45" s="377"/>
      <c r="CQ45" s="377"/>
      <c r="CR45" s="377"/>
      <c r="CS45" s="377"/>
      <c r="CT45" s="377"/>
      <c r="CU45" s="377"/>
      <c r="CV45" s="377"/>
      <c r="CW45" s="377"/>
      <c r="CX45" s="377"/>
      <c r="CY45" s="377"/>
      <c r="CZ45" s="377"/>
      <c r="DA45" s="377"/>
      <c r="DB45" s="377"/>
      <c r="DC45" s="377"/>
      <c r="DD45" s="377"/>
      <c r="DE45" s="377"/>
      <c r="DF45" s="377"/>
      <c r="DG45" s="377"/>
      <c r="DH45" s="377"/>
      <c r="DI45" s="377"/>
      <c r="DJ45" s="377"/>
      <c r="DK45" s="377"/>
      <c r="DL45" s="377"/>
      <c r="DM45" s="377"/>
      <c r="DN45" s="377"/>
      <c r="DO45" s="377"/>
      <c r="DP45" s="377"/>
      <c r="DQ45" s="377"/>
      <c r="DR45" s="377"/>
      <c r="DS45" s="377"/>
      <c r="DT45" s="377"/>
      <c r="DU45" s="377"/>
      <c r="DV45" s="377"/>
      <c r="DW45" s="377"/>
      <c r="DX45" s="377"/>
      <c r="DY45" s="377"/>
      <c r="DZ45" s="377"/>
      <c r="EA45" s="377"/>
      <c r="EB45" s="377"/>
      <c r="EC45" s="377"/>
      <c r="ED45" s="377"/>
      <c r="EE45" s="377"/>
      <c r="EF45" s="377"/>
      <c r="EG45" s="377"/>
      <c r="EH45" s="377"/>
      <c r="EI45" s="377"/>
      <c r="EJ45" s="377"/>
      <c r="EK45" s="377"/>
      <c r="EL45" s="377"/>
      <c r="EM45" s="377"/>
      <c r="EN45" s="377"/>
      <c r="EO45" s="377"/>
      <c r="EP45" s="377"/>
      <c r="EQ45" s="377"/>
      <c r="ER45" s="377"/>
      <c r="ES45" s="377"/>
      <c r="ET45" s="377"/>
      <c r="EU45" s="377"/>
      <c r="EV45" s="377"/>
      <c r="EW45" s="377"/>
      <c r="EX45" s="377"/>
      <c r="EY45" s="377"/>
      <c r="EZ45" s="377"/>
      <c r="FA45" s="377"/>
      <c r="FB45" s="377"/>
      <c r="FC45" s="377"/>
      <c r="FD45" s="377"/>
      <c r="FE45" s="377"/>
      <c r="FF45" s="377"/>
      <c r="FG45" s="377"/>
      <c r="FH45" s="377"/>
      <c r="FI45" s="377"/>
      <c r="FJ45" s="377"/>
      <c r="FK45" s="377"/>
      <c r="FL45" s="377"/>
      <c r="FM45" s="377"/>
      <c r="FN45" s="377"/>
      <c r="FO45" s="377"/>
      <c r="FP45" s="377"/>
      <c r="FQ45" s="377"/>
      <c r="FR45" s="377"/>
      <c r="FS45" s="377"/>
      <c r="FT45" s="377"/>
      <c r="FU45" s="377"/>
      <c r="FV45" s="377"/>
      <c r="FW45" s="377"/>
      <c r="FX45" s="377"/>
      <c r="FY45" s="377"/>
      <c r="FZ45" s="377"/>
      <c r="GA45" s="377"/>
      <c r="GB45" s="377"/>
      <c r="GC45" s="377"/>
      <c r="GD45" s="377"/>
      <c r="GE45" s="377"/>
      <c r="GF45" s="377"/>
      <c r="GG45" s="377"/>
      <c r="GH45" s="377"/>
      <c r="GI45" s="377"/>
      <c r="GJ45" s="377"/>
      <c r="GK45" s="377"/>
      <c r="GL45" s="377"/>
      <c r="GM45" s="377"/>
      <c r="GN45" s="377"/>
      <c r="GO45" s="377"/>
      <c r="GP45" s="377"/>
      <c r="GQ45" s="377"/>
      <c r="GR45" s="377"/>
      <c r="GS45" s="377"/>
    </row>
    <row r="46" spans="1:201">
      <c r="A46" s="806">
        <f>'PLANILHA ORÇAMENTARIA'!A100</f>
        <v>12</v>
      </c>
      <c r="B46" s="809" t="str">
        <f>'PLANILHA ORÇAMENTARIA'!B100</f>
        <v>REVESTIMENTOS DE PAREDES INTERNAS / EXTERNAS</v>
      </c>
      <c r="C46" s="812"/>
      <c r="D46" s="815">
        <f>'PLANILHA ORÇAMENTARIA'!F100</f>
        <v>160366.79999999999</v>
      </c>
      <c r="E46" s="818">
        <f>D46/$D$82</f>
        <v>4.6836098191684272E-2</v>
      </c>
      <c r="F46" s="820">
        <f>$D$46*F48</f>
        <v>0</v>
      </c>
      <c r="G46" s="821"/>
      <c r="H46" s="821"/>
      <c r="I46" s="821"/>
      <c r="J46" s="821"/>
      <c r="K46" s="822"/>
      <c r="L46" s="821">
        <f>$D$46*L48</f>
        <v>0</v>
      </c>
      <c r="M46" s="821"/>
      <c r="N46" s="821"/>
      <c r="O46" s="821"/>
      <c r="P46" s="821"/>
      <c r="Q46" s="821"/>
      <c r="R46" s="820">
        <f>$D$46*R48</f>
        <v>40091.699999999997</v>
      </c>
      <c r="S46" s="821"/>
      <c r="T46" s="821"/>
      <c r="U46" s="821"/>
      <c r="V46" s="821"/>
      <c r="W46" s="822"/>
      <c r="X46" s="821">
        <f>$D$46*X48</f>
        <v>80183.399999999994</v>
      </c>
      <c r="Y46" s="821"/>
      <c r="Z46" s="821"/>
      <c r="AA46" s="821"/>
      <c r="AB46" s="821"/>
      <c r="AC46" s="821"/>
      <c r="AD46" s="820">
        <f>$D$46*AD48</f>
        <v>40091.699999999997</v>
      </c>
      <c r="AE46" s="821"/>
      <c r="AF46" s="821"/>
      <c r="AG46" s="821"/>
      <c r="AH46" s="821"/>
      <c r="AI46" s="821"/>
      <c r="AJ46" s="821">
        <f>$D$46*AJ48</f>
        <v>0</v>
      </c>
      <c r="AK46" s="821"/>
      <c r="AL46" s="821"/>
      <c r="AM46" s="821"/>
      <c r="AN46" s="821"/>
      <c r="AO46" s="823"/>
      <c r="AP46" s="520"/>
      <c r="AQ46" s="377"/>
      <c r="AR46" s="377"/>
      <c r="AS46" s="377"/>
      <c r="AT46" s="377"/>
      <c r="AU46" s="377"/>
      <c r="AV46" s="377"/>
      <c r="AW46" s="377"/>
      <c r="AX46" s="377"/>
      <c r="AY46" s="377"/>
      <c r="AZ46" s="377"/>
      <c r="BA46" s="377"/>
      <c r="BB46" s="377"/>
      <c r="BC46" s="377"/>
      <c r="BD46" s="377"/>
      <c r="BE46" s="377"/>
      <c r="BF46" s="377"/>
      <c r="BG46" s="377"/>
      <c r="BH46" s="377"/>
      <c r="BI46" s="377"/>
      <c r="BJ46" s="377"/>
      <c r="BK46" s="377"/>
      <c r="BL46" s="377"/>
      <c r="BM46" s="377"/>
      <c r="BN46" s="377"/>
      <c r="BO46" s="377"/>
      <c r="BP46" s="377"/>
      <c r="BQ46" s="377"/>
      <c r="BR46" s="377"/>
      <c r="BS46" s="377"/>
      <c r="BT46" s="377"/>
      <c r="BU46" s="377"/>
      <c r="BV46" s="377"/>
      <c r="BW46" s="377"/>
      <c r="BX46" s="377"/>
      <c r="BY46" s="377"/>
      <c r="BZ46" s="377"/>
      <c r="CA46" s="377"/>
      <c r="CB46" s="377"/>
      <c r="CC46" s="377"/>
      <c r="CD46" s="377"/>
      <c r="CE46" s="377"/>
      <c r="CF46" s="377"/>
      <c r="CG46" s="377"/>
      <c r="CH46" s="377"/>
      <c r="CI46" s="377"/>
      <c r="CJ46" s="377"/>
      <c r="CK46" s="377"/>
      <c r="CL46" s="377"/>
      <c r="CM46" s="377"/>
      <c r="CN46" s="377"/>
      <c r="CO46" s="377"/>
      <c r="CP46" s="377"/>
      <c r="CQ46" s="377"/>
      <c r="CR46" s="377"/>
      <c r="CS46" s="377"/>
      <c r="CT46" s="377"/>
      <c r="CU46" s="377"/>
      <c r="CV46" s="377"/>
      <c r="CW46" s="377"/>
      <c r="CX46" s="377"/>
      <c r="CY46" s="377"/>
      <c r="CZ46" s="377"/>
      <c r="DA46" s="377"/>
      <c r="DB46" s="377"/>
      <c r="DC46" s="377"/>
      <c r="DD46" s="377"/>
      <c r="DE46" s="377"/>
      <c r="DF46" s="377"/>
      <c r="DG46" s="377"/>
      <c r="DH46" s="377"/>
      <c r="DI46" s="377"/>
      <c r="DJ46" s="377"/>
      <c r="DK46" s="377"/>
      <c r="DL46" s="377"/>
      <c r="DM46" s="377"/>
      <c r="DN46" s="377"/>
      <c r="DO46" s="377"/>
      <c r="DP46" s="377"/>
      <c r="DQ46" s="377"/>
      <c r="DR46" s="377"/>
      <c r="DS46" s="377"/>
      <c r="DT46" s="377"/>
      <c r="DU46" s="377"/>
      <c r="DV46" s="377"/>
      <c r="DW46" s="377"/>
      <c r="DX46" s="377"/>
      <c r="DY46" s="377"/>
      <c r="DZ46" s="377"/>
      <c r="EA46" s="377"/>
      <c r="EB46" s="377"/>
      <c r="EC46" s="377"/>
      <c r="ED46" s="377"/>
      <c r="EE46" s="377"/>
      <c r="EF46" s="377"/>
      <c r="EG46" s="377"/>
      <c r="EH46" s="377"/>
      <c r="EI46" s="377"/>
      <c r="EJ46" s="377"/>
      <c r="EK46" s="377"/>
      <c r="EL46" s="377"/>
      <c r="EM46" s="377"/>
      <c r="EN46" s="377"/>
      <c r="EO46" s="377"/>
      <c r="EP46" s="377"/>
      <c r="EQ46" s="377"/>
      <c r="ER46" s="377"/>
      <c r="ES46" s="377"/>
      <c r="ET46" s="377"/>
      <c r="EU46" s="377"/>
      <c r="EV46" s="377"/>
      <c r="EW46" s="377"/>
      <c r="EX46" s="377"/>
      <c r="EY46" s="377"/>
      <c r="EZ46" s="377"/>
      <c r="FA46" s="377"/>
      <c r="FB46" s="377"/>
      <c r="FC46" s="377"/>
      <c r="FD46" s="377"/>
      <c r="FE46" s="377"/>
      <c r="FF46" s="377"/>
      <c r="FG46" s="377"/>
      <c r="FH46" s="377"/>
      <c r="FI46" s="377"/>
      <c r="FJ46" s="377"/>
      <c r="FK46" s="377"/>
      <c r="FL46" s="377"/>
      <c r="FM46" s="377"/>
      <c r="FN46" s="377"/>
      <c r="FO46" s="377"/>
      <c r="FP46" s="377"/>
      <c r="FQ46" s="377"/>
      <c r="FR46" s="377"/>
      <c r="FS46" s="377"/>
      <c r="FT46" s="377"/>
      <c r="FU46" s="377"/>
      <c r="FV46" s="377"/>
      <c r="FW46" s="377"/>
      <c r="FX46" s="377"/>
      <c r="FY46" s="377"/>
      <c r="FZ46" s="377"/>
      <c r="GA46" s="377"/>
      <c r="GB46" s="377"/>
      <c r="GC46" s="377"/>
      <c r="GD46" s="377"/>
      <c r="GE46" s="377"/>
      <c r="GF46" s="377"/>
      <c r="GG46" s="377"/>
      <c r="GH46" s="377"/>
      <c r="GI46" s="377"/>
      <c r="GJ46" s="377"/>
      <c r="GK46" s="377"/>
      <c r="GL46" s="377"/>
      <c r="GM46" s="377"/>
      <c r="GN46" s="377"/>
      <c r="GO46" s="377"/>
      <c r="GP46" s="377"/>
      <c r="GQ46" s="377"/>
      <c r="GR46" s="377"/>
      <c r="GS46" s="377"/>
    </row>
    <row r="47" spans="1:201" ht="5.0999999999999996" customHeight="1">
      <c r="A47" s="807"/>
      <c r="B47" s="810"/>
      <c r="C47" s="813"/>
      <c r="D47" s="816"/>
      <c r="E47" s="818"/>
      <c r="F47" s="725"/>
      <c r="G47" s="726"/>
      <c r="H47" s="726"/>
      <c r="I47" s="726"/>
      <c r="J47" s="726"/>
      <c r="K47" s="726"/>
      <c r="L47" s="727"/>
      <c r="M47" s="726"/>
      <c r="N47" s="726"/>
      <c r="O47" s="726"/>
      <c r="P47" s="726"/>
      <c r="Q47" s="728"/>
      <c r="R47" s="725">
        <v>1</v>
      </c>
      <c r="S47" s="726">
        <v>1</v>
      </c>
      <c r="T47" s="726">
        <v>1</v>
      </c>
      <c r="U47" s="726">
        <v>1</v>
      </c>
      <c r="V47" s="726">
        <v>1</v>
      </c>
      <c r="W47" s="726">
        <v>1</v>
      </c>
      <c r="X47" s="727">
        <v>1</v>
      </c>
      <c r="Y47" s="726">
        <v>1</v>
      </c>
      <c r="Z47" s="726">
        <v>1</v>
      </c>
      <c r="AA47" s="726">
        <v>1</v>
      </c>
      <c r="AB47" s="726">
        <v>1</v>
      </c>
      <c r="AC47" s="728">
        <v>1</v>
      </c>
      <c r="AD47" s="729">
        <v>1</v>
      </c>
      <c r="AE47" s="730">
        <v>1</v>
      </c>
      <c r="AF47" s="730">
        <v>1</v>
      </c>
      <c r="AG47" s="730">
        <v>1</v>
      </c>
      <c r="AH47" s="730">
        <v>1</v>
      </c>
      <c r="AI47" s="730">
        <v>1</v>
      </c>
      <c r="AJ47" s="731"/>
      <c r="AK47" s="730"/>
      <c r="AL47" s="730"/>
      <c r="AM47" s="730"/>
      <c r="AN47" s="730"/>
      <c r="AO47" s="732"/>
      <c r="AP47" s="517"/>
      <c r="AQ47" s="377"/>
      <c r="AR47" s="377"/>
      <c r="AS47" s="377"/>
      <c r="AT47" s="377"/>
      <c r="AU47" s="377"/>
      <c r="AV47" s="377"/>
      <c r="AW47" s="377"/>
      <c r="AX47" s="377"/>
      <c r="AY47" s="377"/>
      <c r="AZ47" s="377"/>
      <c r="BA47" s="377"/>
      <c r="BB47" s="377"/>
      <c r="BC47" s="377"/>
      <c r="BD47" s="377"/>
      <c r="BE47" s="377"/>
      <c r="BF47" s="377"/>
      <c r="BG47" s="377"/>
      <c r="BH47" s="377"/>
      <c r="BI47" s="377"/>
      <c r="BJ47" s="377"/>
      <c r="BK47" s="377"/>
      <c r="BL47" s="377"/>
      <c r="BM47" s="377"/>
      <c r="BN47" s="377"/>
      <c r="BO47" s="377"/>
      <c r="BP47" s="377"/>
      <c r="BQ47" s="377"/>
      <c r="BR47" s="377"/>
      <c r="BS47" s="377"/>
      <c r="BT47" s="377"/>
      <c r="BU47" s="377"/>
      <c r="BV47" s="377"/>
      <c r="BW47" s="377"/>
      <c r="BX47" s="377"/>
      <c r="BY47" s="377"/>
      <c r="BZ47" s="377"/>
      <c r="CA47" s="377"/>
      <c r="CB47" s="377"/>
      <c r="CC47" s="377"/>
      <c r="CD47" s="377"/>
      <c r="CE47" s="377"/>
      <c r="CF47" s="377"/>
      <c r="CG47" s="377"/>
      <c r="CH47" s="377"/>
      <c r="CI47" s="377"/>
      <c r="CJ47" s="377"/>
      <c r="CK47" s="377"/>
      <c r="CL47" s="377"/>
      <c r="CM47" s="377"/>
      <c r="CN47" s="377"/>
      <c r="CO47" s="377"/>
      <c r="CP47" s="377"/>
      <c r="CQ47" s="377"/>
      <c r="CR47" s="377"/>
      <c r="CS47" s="377"/>
      <c r="CT47" s="377"/>
      <c r="CU47" s="377"/>
      <c r="CV47" s="377"/>
      <c r="CW47" s="377"/>
      <c r="CX47" s="377"/>
      <c r="CY47" s="377"/>
      <c r="CZ47" s="377"/>
      <c r="DA47" s="377"/>
      <c r="DB47" s="377"/>
      <c r="DC47" s="377"/>
      <c r="DD47" s="377"/>
      <c r="DE47" s="377"/>
      <c r="DF47" s="377"/>
      <c r="DG47" s="377"/>
      <c r="DH47" s="377"/>
      <c r="DI47" s="377"/>
      <c r="DJ47" s="377"/>
      <c r="DK47" s="377"/>
      <c r="DL47" s="377"/>
      <c r="DM47" s="377"/>
      <c r="DN47" s="377"/>
      <c r="DO47" s="377"/>
      <c r="DP47" s="377"/>
      <c r="DQ47" s="377"/>
      <c r="DR47" s="377"/>
      <c r="DS47" s="377"/>
      <c r="DT47" s="377"/>
      <c r="DU47" s="377"/>
      <c r="DV47" s="377"/>
      <c r="DW47" s="377"/>
      <c r="DX47" s="377"/>
      <c r="DY47" s="377"/>
      <c r="DZ47" s="377"/>
      <c r="EA47" s="377"/>
      <c r="EB47" s="377"/>
      <c r="EC47" s="377"/>
      <c r="ED47" s="377"/>
      <c r="EE47" s="377"/>
      <c r="EF47" s="377"/>
      <c r="EG47" s="377"/>
      <c r="EH47" s="377"/>
      <c r="EI47" s="377"/>
      <c r="EJ47" s="377"/>
      <c r="EK47" s="377"/>
      <c r="EL47" s="377"/>
      <c r="EM47" s="377"/>
      <c r="EN47" s="377"/>
      <c r="EO47" s="377"/>
      <c r="EP47" s="377"/>
      <c r="EQ47" s="377"/>
      <c r="ER47" s="377"/>
      <c r="ES47" s="377"/>
      <c r="ET47" s="377"/>
      <c r="EU47" s="377"/>
      <c r="EV47" s="377"/>
      <c r="EW47" s="377"/>
      <c r="EX47" s="377"/>
      <c r="EY47" s="377"/>
      <c r="EZ47" s="377"/>
      <c r="FA47" s="377"/>
      <c r="FB47" s="377"/>
      <c r="FC47" s="377"/>
      <c r="FD47" s="377"/>
      <c r="FE47" s="377"/>
      <c r="FF47" s="377"/>
      <c r="FG47" s="377"/>
      <c r="FH47" s="377"/>
      <c r="FI47" s="377"/>
      <c r="FJ47" s="377"/>
      <c r="FK47" s="377"/>
      <c r="FL47" s="377"/>
      <c r="FM47" s="377"/>
      <c r="FN47" s="377"/>
      <c r="FO47" s="377"/>
      <c r="FP47" s="377"/>
      <c r="FQ47" s="377"/>
      <c r="FR47" s="377"/>
      <c r="FS47" s="377"/>
      <c r="FT47" s="377"/>
      <c r="FU47" s="377"/>
      <c r="FV47" s="377"/>
      <c r="FW47" s="377"/>
      <c r="FX47" s="377"/>
      <c r="FY47" s="377"/>
      <c r="FZ47" s="377"/>
      <c r="GA47" s="377"/>
      <c r="GB47" s="377"/>
      <c r="GC47" s="377"/>
      <c r="GD47" s="377"/>
      <c r="GE47" s="377"/>
      <c r="GF47" s="377"/>
      <c r="GG47" s="377"/>
      <c r="GH47" s="377"/>
      <c r="GI47" s="377"/>
      <c r="GJ47" s="377"/>
      <c r="GK47" s="377"/>
      <c r="GL47" s="377"/>
      <c r="GM47" s="377"/>
      <c r="GN47" s="377"/>
      <c r="GO47" s="377"/>
      <c r="GP47" s="377"/>
      <c r="GQ47" s="377"/>
      <c r="GR47" s="377"/>
      <c r="GS47" s="377"/>
    </row>
    <row r="48" spans="1:201">
      <c r="A48" s="808"/>
      <c r="B48" s="811"/>
      <c r="C48" s="814"/>
      <c r="D48" s="817"/>
      <c r="E48" s="819"/>
      <c r="F48" s="824"/>
      <c r="G48" s="825"/>
      <c r="H48" s="825"/>
      <c r="I48" s="825"/>
      <c r="J48" s="825"/>
      <c r="K48" s="826"/>
      <c r="L48" s="825"/>
      <c r="M48" s="825"/>
      <c r="N48" s="825"/>
      <c r="O48" s="825"/>
      <c r="P48" s="825"/>
      <c r="Q48" s="825"/>
      <c r="R48" s="824">
        <v>0.25</v>
      </c>
      <c r="S48" s="825"/>
      <c r="T48" s="825"/>
      <c r="U48" s="825"/>
      <c r="V48" s="825"/>
      <c r="W48" s="826"/>
      <c r="X48" s="825">
        <v>0.5</v>
      </c>
      <c r="Y48" s="825"/>
      <c r="Z48" s="825"/>
      <c r="AA48" s="825"/>
      <c r="AB48" s="825"/>
      <c r="AC48" s="825"/>
      <c r="AD48" s="824">
        <v>0.25</v>
      </c>
      <c r="AE48" s="825"/>
      <c r="AF48" s="825"/>
      <c r="AG48" s="825"/>
      <c r="AH48" s="825"/>
      <c r="AI48" s="825"/>
      <c r="AJ48" s="825"/>
      <c r="AK48" s="825"/>
      <c r="AL48" s="825"/>
      <c r="AM48" s="825"/>
      <c r="AN48" s="825"/>
      <c r="AO48" s="827"/>
      <c r="AP48" s="517"/>
      <c r="AQ48" s="377"/>
      <c r="AR48" s="377"/>
      <c r="AS48" s="377"/>
      <c r="AT48" s="377"/>
      <c r="AU48" s="377"/>
      <c r="AV48" s="377"/>
      <c r="AW48" s="377"/>
      <c r="AX48" s="377"/>
      <c r="AY48" s="377"/>
      <c r="AZ48" s="377"/>
      <c r="BA48" s="377"/>
      <c r="BB48" s="377"/>
      <c r="BC48" s="377"/>
      <c r="BD48" s="377"/>
      <c r="BE48" s="377"/>
      <c r="BF48" s="377"/>
      <c r="BG48" s="377"/>
      <c r="BH48" s="377"/>
      <c r="BI48" s="377"/>
      <c r="BJ48" s="377"/>
      <c r="BK48" s="377"/>
      <c r="BL48" s="377"/>
      <c r="BM48" s="377"/>
      <c r="BN48" s="377"/>
      <c r="BO48" s="377"/>
      <c r="BP48" s="377"/>
      <c r="BQ48" s="377"/>
      <c r="BR48" s="377"/>
      <c r="BS48" s="377"/>
      <c r="BT48" s="377"/>
      <c r="BU48" s="377"/>
      <c r="BV48" s="377"/>
      <c r="BW48" s="377"/>
      <c r="BX48" s="377"/>
      <c r="BY48" s="377"/>
      <c r="BZ48" s="377"/>
      <c r="CA48" s="377"/>
      <c r="CB48" s="377"/>
      <c r="CC48" s="377"/>
      <c r="CD48" s="377"/>
      <c r="CE48" s="377"/>
      <c r="CF48" s="377"/>
      <c r="CG48" s="377"/>
      <c r="CH48" s="377"/>
      <c r="CI48" s="377"/>
      <c r="CJ48" s="377"/>
      <c r="CK48" s="377"/>
      <c r="CL48" s="377"/>
      <c r="CM48" s="377"/>
      <c r="CN48" s="377"/>
      <c r="CO48" s="377"/>
      <c r="CP48" s="377"/>
      <c r="CQ48" s="377"/>
      <c r="CR48" s="377"/>
      <c r="CS48" s="377"/>
      <c r="CT48" s="377"/>
      <c r="CU48" s="377"/>
      <c r="CV48" s="377"/>
      <c r="CW48" s="377"/>
      <c r="CX48" s="377"/>
      <c r="CY48" s="377"/>
      <c r="CZ48" s="377"/>
      <c r="DA48" s="377"/>
      <c r="DB48" s="377"/>
      <c r="DC48" s="377"/>
      <c r="DD48" s="377"/>
      <c r="DE48" s="377"/>
      <c r="DF48" s="377"/>
      <c r="DG48" s="377"/>
      <c r="DH48" s="377"/>
      <c r="DI48" s="377"/>
      <c r="DJ48" s="377"/>
      <c r="DK48" s="377"/>
      <c r="DL48" s="377"/>
      <c r="DM48" s="377"/>
      <c r="DN48" s="377"/>
      <c r="DO48" s="377"/>
      <c r="DP48" s="377"/>
      <c r="DQ48" s="377"/>
      <c r="DR48" s="377"/>
      <c r="DS48" s="377"/>
      <c r="DT48" s="377"/>
      <c r="DU48" s="377"/>
      <c r="DV48" s="377"/>
      <c r="DW48" s="377"/>
      <c r="DX48" s="377"/>
      <c r="DY48" s="377"/>
      <c r="DZ48" s="377"/>
      <c r="EA48" s="377"/>
      <c r="EB48" s="377"/>
      <c r="EC48" s="377"/>
      <c r="ED48" s="377"/>
      <c r="EE48" s="377"/>
      <c r="EF48" s="377"/>
      <c r="EG48" s="377"/>
      <c r="EH48" s="377"/>
      <c r="EI48" s="377"/>
      <c r="EJ48" s="377"/>
      <c r="EK48" s="377"/>
      <c r="EL48" s="377"/>
      <c r="EM48" s="377"/>
      <c r="EN48" s="377"/>
      <c r="EO48" s="377"/>
      <c r="EP48" s="377"/>
      <c r="EQ48" s="377"/>
      <c r="ER48" s="377"/>
      <c r="ES48" s="377"/>
      <c r="ET48" s="377"/>
      <c r="EU48" s="377"/>
      <c r="EV48" s="377"/>
      <c r="EW48" s="377"/>
      <c r="EX48" s="377"/>
      <c r="EY48" s="377"/>
      <c r="EZ48" s="377"/>
      <c r="FA48" s="377"/>
      <c r="FB48" s="377"/>
      <c r="FC48" s="377"/>
      <c r="FD48" s="377"/>
      <c r="FE48" s="377"/>
      <c r="FF48" s="377"/>
      <c r="FG48" s="377"/>
      <c r="FH48" s="377"/>
      <c r="FI48" s="377"/>
      <c r="FJ48" s="377"/>
      <c r="FK48" s="377"/>
      <c r="FL48" s="377"/>
      <c r="FM48" s="377"/>
      <c r="FN48" s="377"/>
      <c r="FO48" s="377"/>
      <c r="FP48" s="377"/>
      <c r="FQ48" s="377"/>
      <c r="FR48" s="377"/>
      <c r="FS48" s="377"/>
      <c r="FT48" s="377"/>
      <c r="FU48" s="377"/>
      <c r="FV48" s="377"/>
      <c r="FW48" s="377"/>
      <c r="FX48" s="377"/>
      <c r="FY48" s="377"/>
      <c r="FZ48" s="377"/>
      <c r="GA48" s="377"/>
      <c r="GB48" s="377"/>
      <c r="GC48" s="377"/>
      <c r="GD48" s="377"/>
      <c r="GE48" s="377"/>
      <c r="GF48" s="377"/>
      <c r="GG48" s="377"/>
      <c r="GH48" s="377"/>
      <c r="GI48" s="377"/>
      <c r="GJ48" s="377"/>
      <c r="GK48" s="377"/>
      <c r="GL48" s="377"/>
      <c r="GM48" s="377"/>
      <c r="GN48" s="377"/>
      <c r="GO48" s="377"/>
      <c r="GP48" s="377"/>
      <c r="GQ48" s="377"/>
      <c r="GR48" s="377"/>
      <c r="GS48" s="377"/>
    </row>
    <row r="49" spans="1:201">
      <c r="A49" s="872">
        <f>'PLANILHA ORÇAMENTARIA'!A109</f>
        <v>13</v>
      </c>
      <c r="B49" s="905" t="str">
        <f>'PLANILHA ORÇAMENTARIA'!B109</f>
        <v>FORROS</v>
      </c>
      <c r="C49" s="899"/>
      <c r="D49" s="880">
        <f>'PLANILHA ORÇAMENTARIA'!F109</f>
        <v>24582.87</v>
      </c>
      <c r="E49" s="883">
        <f>D49/$D$82</f>
        <v>7.1795765280183279E-3</v>
      </c>
      <c r="F49" s="885">
        <f>$D$49*F51</f>
        <v>0</v>
      </c>
      <c r="G49" s="830"/>
      <c r="H49" s="830"/>
      <c r="I49" s="830"/>
      <c r="J49" s="830"/>
      <c r="K49" s="886"/>
      <c r="L49" s="830">
        <f>$D$49*L51</f>
        <v>0</v>
      </c>
      <c r="M49" s="830"/>
      <c r="N49" s="830"/>
      <c r="O49" s="830"/>
      <c r="P49" s="830"/>
      <c r="Q49" s="830"/>
      <c r="R49" s="885">
        <f>$D$49*R51</f>
        <v>0</v>
      </c>
      <c r="S49" s="830"/>
      <c r="T49" s="830"/>
      <c r="U49" s="830"/>
      <c r="V49" s="830"/>
      <c r="W49" s="886"/>
      <c r="X49" s="830">
        <f>$D$49*X51</f>
        <v>14749.721999999998</v>
      </c>
      <c r="Y49" s="830"/>
      <c r="Z49" s="830"/>
      <c r="AA49" s="830"/>
      <c r="AB49" s="830"/>
      <c r="AC49" s="830"/>
      <c r="AD49" s="885">
        <f>$D$49*AD51</f>
        <v>4916.5740000000005</v>
      </c>
      <c r="AE49" s="830"/>
      <c r="AF49" s="830"/>
      <c r="AG49" s="830"/>
      <c r="AH49" s="830"/>
      <c r="AI49" s="830"/>
      <c r="AJ49" s="830">
        <f>$D$49*AJ51</f>
        <v>4916.5740000000005</v>
      </c>
      <c r="AK49" s="830"/>
      <c r="AL49" s="830"/>
      <c r="AM49" s="830"/>
      <c r="AN49" s="830"/>
      <c r="AO49" s="831"/>
      <c r="AP49" s="520"/>
      <c r="AQ49" s="377"/>
      <c r="AR49" s="377"/>
      <c r="AS49" s="377"/>
      <c r="AT49" s="377"/>
      <c r="AU49" s="377"/>
      <c r="AV49" s="377"/>
      <c r="AW49" s="377"/>
      <c r="AX49" s="377"/>
      <c r="AY49" s="377"/>
      <c r="AZ49" s="377"/>
      <c r="BA49" s="377"/>
      <c r="BB49" s="377"/>
      <c r="BC49" s="377"/>
      <c r="BD49" s="377"/>
      <c r="BE49" s="377"/>
      <c r="BF49" s="377"/>
      <c r="BG49" s="377"/>
      <c r="BH49" s="377"/>
      <c r="BI49" s="377"/>
      <c r="BJ49" s="377"/>
      <c r="BK49" s="377"/>
      <c r="BL49" s="377"/>
      <c r="BM49" s="377"/>
      <c r="BN49" s="377"/>
      <c r="BO49" s="377"/>
      <c r="BP49" s="377"/>
      <c r="BQ49" s="377"/>
      <c r="BR49" s="377"/>
      <c r="BS49" s="377"/>
      <c r="BT49" s="377"/>
      <c r="BU49" s="377"/>
      <c r="BV49" s="377"/>
      <c r="BW49" s="377"/>
      <c r="BX49" s="377"/>
      <c r="BY49" s="377"/>
      <c r="BZ49" s="377"/>
      <c r="CA49" s="377"/>
      <c r="CB49" s="377"/>
      <c r="CC49" s="377"/>
      <c r="CD49" s="377"/>
      <c r="CE49" s="377"/>
      <c r="CF49" s="377"/>
      <c r="CG49" s="377"/>
      <c r="CH49" s="377"/>
      <c r="CI49" s="377"/>
      <c r="CJ49" s="377"/>
      <c r="CK49" s="377"/>
      <c r="CL49" s="377"/>
      <c r="CM49" s="377"/>
      <c r="CN49" s="377"/>
      <c r="CO49" s="377"/>
      <c r="CP49" s="377"/>
      <c r="CQ49" s="377"/>
      <c r="CR49" s="377"/>
      <c r="CS49" s="377"/>
      <c r="CT49" s="377"/>
      <c r="CU49" s="377"/>
      <c r="CV49" s="377"/>
      <c r="CW49" s="377"/>
      <c r="CX49" s="377"/>
      <c r="CY49" s="377"/>
      <c r="CZ49" s="377"/>
      <c r="DA49" s="377"/>
      <c r="DB49" s="377"/>
      <c r="DC49" s="377"/>
      <c r="DD49" s="377"/>
      <c r="DE49" s="377"/>
      <c r="DF49" s="377"/>
      <c r="DG49" s="377"/>
      <c r="DH49" s="377"/>
      <c r="DI49" s="377"/>
      <c r="DJ49" s="377"/>
      <c r="DK49" s="377"/>
      <c r="DL49" s="377"/>
      <c r="DM49" s="377"/>
      <c r="DN49" s="377"/>
      <c r="DO49" s="377"/>
      <c r="DP49" s="377"/>
      <c r="DQ49" s="377"/>
      <c r="DR49" s="377"/>
      <c r="DS49" s="377"/>
      <c r="DT49" s="377"/>
      <c r="DU49" s="377"/>
      <c r="DV49" s="377"/>
      <c r="DW49" s="377"/>
      <c r="DX49" s="377"/>
      <c r="DY49" s="377"/>
      <c r="DZ49" s="377"/>
      <c r="EA49" s="377"/>
      <c r="EB49" s="377"/>
      <c r="EC49" s="377"/>
      <c r="ED49" s="377"/>
      <c r="EE49" s="377"/>
      <c r="EF49" s="377"/>
      <c r="EG49" s="377"/>
      <c r="EH49" s="377"/>
      <c r="EI49" s="377"/>
      <c r="EJ49" s="377"/>
      <c r="EK49" s="377"/>
      <c r="EL49" s="377"/>
      <c r="EM49" s="377"/>
      <c r="EN49" s="377"/>
      <c r="EO49" s="377"/>
      <c r="EP49" s="377"/>
      <c r="EQ49" s="377"/>
      <c r="ER49" s="377"/>
      <c r="ES49" s="377"/>
      <c r="ET49" s="377"/>
      <c r="EU49" s="377"/>
      <c r="EV49" s="377"/>
      <c r="EW49" s="377"/>
      <c r="EX49" s="377"/>
      <c r="EY49" s="377"/>
      <c r="EZ49" s="377"/>
      <c r="FA49" s="377"/>
      <c r="FB49" s="377"/>
      <c r="FC49" s="377"/>
      <c r="FD49" s="377"/>
      <c r="FE49" s="377"/>
      <c r="FF49" s="377"/>
      <c r="FG49" s="377"/>
      <c r="FH49" s="377"/>
      <c r="FI49" s="377"/>
      <c r="FJ49" s="377"/>
      <c r="FK49" s="377"/>
      <c r="FL49" s="377"/>
      <c r="FM49" s="377"/>
      <c r="FN49" s="377"/>
      <c r="FO49" s="377"/>
      <c r="FP49" s="377"/>
      <c r="FQ49" s="377"/>
      <c r="FR49" s="377"/>
      <c r="FS49" s="377"/>
      <c r="FT49" s="377"/>
      <c r="FU49" s="377"/>
      <c r="FV49" s="377"/>
      <c r="FW49" s="377"/>
      <c r="FX49" s="377"/>
      <c r="FY49" s="377"/>
      <c r="FZ49" s="377"/>
      <c r="GA49" s="377"/>
      <c r="GB49" s="377"/>
      <c r="GC49" s="377"/>
      <c r="GD49" s="377"/>
      <c r="GE49" s="377"/>
      <c r="GF49" s="377"/>
      <c r="GG49" s="377"/>
      <c r="GH49" s="377"/>
      <c r="GI49" s="377"/>
      <c r="GJ49" s="377"/>
      <c r="GK49" s="377"/>
      <c r="GL49" s="377"/>
      <c r="GM49" s="377"/>
      <c r="GN49" s="377"/>
      <c r="GO49" s="377"/>
      <c r="GP49" s="377"/>
      <c r="GQ49" s="377"/>
      <c r="GR49" s="377"/>
      <c r="GS49" s="377"/>
    </row>
    <row r="50" spans="1:201" ht="5.0999999999999996" customHeight="1">
      <c r="A50" s="872"/>
      <c r="B50" s="905"/>
      <c r="C50" s="899"/>
      <c r="D50" s="880"/>
      <c r="E50" s="883"/>
      <c r="F50" s="718"/>
      <c r="G50" s="719"/>
      <c r="H50" s="719"/>
      <c r="I50" s="719"/>
      <c r="J50" s="719"/>
      <c r="K50" s="719"/>
      <c r="L50" s="720"/>
      <c r="M50" s="719"/>
      <c r="N50" s="719"/>
      <c r="O50" s="719"/>
      <c r="P50" s="719"/>
      <c r="Q50" s="721"/>
      <c r="R50" s="718"/>
      <c r="S50" s="719"/>
      <c r="T50" s="719"/>
      <c r="U50" s="719"/>
      <c r="V50" s="719"/>
      <c r="W50" s="719"/>
      <c r="X50" s="720">
        <v>1</v>
      </c>
      <c r="Y50" s="719">
        <v>1</v>
      </c>
      <c r="Z50" s="719">
        <v>1</v>
      </c>
      <c r="AA50" s="719">
        <v>1</v>
      </c>
      <c r="AB50" s="719">
        <v>1</v>
      </c>
      <c r="AC50" s="721">
        <v>1</v>
      </c>
      <c r="AD50" s="733">
        <v>1</v>
      </c>
      <c r="AE50" s="723">
        <v>1</v>
      </c>
      <c r="AF50" s="723">
        <v>1</v>
      </c>
      <c r="AG50" s="723">
        <v>1</v>
      </c>
      <c r="AH50" s="723">
        <v>1</v>
      </c>
      <c r="AI50" s="723">
        <v>1</v>
      </c>
      <c r="AJ50" s="722">
        <v>1</v>
      </c>
      <c r="AK50" s="723">
        <v>1</v>
      </c>
      <c r="AL50" s="723">
        <v>1</v>
      </c>
      <c r="AM50" s="723">
        <v>1</v>
      </c>
      <c r="AN50" s="723">
        <v>1</v>
      </c>
      <c r="AO50" s="724">
        <v>1</v>
      </c>
      <c r="AP50" s="517"/>
      <c r="AQ50" s="377"/>
      <c r="AR50" s="377"/>
      <c r="AS50" s="377"/>
      <c r="AT50" s="377"/>
      <c r="AU50" s="377"/>
      <c r="AV50" s="377"/>
      <c r="AW50" s="377"/>
      <c r="AX50" s="377"/>
      <c r="AY50" s="377"/>
      <c r="AZ50" s="377"/>
      <c r="BA50" s="377"/>
      <c r="BB50" s="377"/>
      <c r="BC50" s="377"/>
      <c r="BD50" s="377"/>
      <c r="BE50" s="377"/>
      <c r="BF50" s="377"/>
      <c r="BG50" s="377"/>
      <c r="BH50" s="377"/>
      <c r="BI50" s="377"/>
      <c r="BJ50" s="377"/>
      <c r="BK50" s="377"/>
      <c r="BL50" s="377"/>
      <c r="BM50" s="377"/>
      <c r="BN50" s="377"/>
      <c r="BO50" s="377"/>
      <c r="BP50" s="377"/>
      <c r="BQ50" s="377"/>
      <c r="BR50" s="377"/>
      <c r="BS50" s="377"/>
      <c r="BT50" s="377"/>
      <c r="BU50" s="377"/>
      <c r="BV50" s="377"/>
      <c r="BW50" s="377"/>
      <c r="BX50" s="377"/>
      <c r="BY50" s="377"/>
      <c r="BZ50" s="377"/>
      <c r="CA50" s="377"/>
      <c r="CB50" s="377"/>
      <c r="CC50" s="377"/>
      <c r="CD50" s="377"/>
      <c r="CE50" s="377"/>
      <c r="CF50" s="377"/>
      <c r="CG50" s="377"/>
      <c r="CH50" s="377"/>
      <c r="CI50" s="377"/>
      <c r="CJ50" s="377"/>
      <c r="CK50" s="377"/>
      <c r="CL50" s="377"/>
      <c r="CM50" s="377"/>
      <c r="CN50" s="377"/>
      <c r="CO50" s="377"/>
      <c r="CP50" s="377"/>
      <c r="CQ50" s="377"/>
      <c r="CR50" s="377"/>
      <c r="CS50" s="377"/>
      <c r="CT50" s="377"/>
      <c r="CU50" s="377"/>
      <c r="CV50" s="377"/>
      <c r="CW50" s="377"/>
      <c r="CX50" s="377"/>
      <c r="CY50" s="377"/>
      <c r="CZ50" s="377"/>
      <c r="DA50" s="377"/>
      <c r="DB50" s="377"/>
      <c r="DC50" s="377"/>
      <c r="DD50" s="377"/>
      <c r="DE50" s="377"/>
      <c r="DF50" s="377"/>
      <c r="DG50" s="377"/>
      <c r="DH50" s="377"/>
      <c r="DI50" s="377"/>
      <c r="DJ50" s="377"/>
      <c r="DK50" s="377"/>
      <c r="DL50" s="377"/>
      <c r="DM50" s="377"/>
      <c r="DN50" s="377"/>
      <c r="DO50" s="377"/>
      <c r="DP50" s="377"/>
      <c r="DQ50" s="377"/>
      <c r="DR50" s="377"/>
      <c r="DS50" s="377"/>
      <c r="DT50" s="377"/>
      <c r="DU50" s="377"/>
      <c r="DV50" s="377"/>
      <c r="DW50" s="377"/>
      <c r="DX50" s="377"/>
      <c r="DY50" s="377"/>
      <c r="DZ50" s="377"/>
      <c r="EA50" s="377"/>
      <c r="EB50" s="377"/>
      <c r="EC50" s="377"/>
      <c r="ED50" s="377"/>
      <c r="EE50" s="377"/>
      <c r="EF50" s="377"/>
      <c r="EG50" s="377"/>
      <c r="EH50" s="377"/>
      <c r="EI50" s="377"/>
      <c r="EJ50" s="377"/>
      <c r="EK50" s="377"/>
      <c r="EL50" s="377"/>
      <c r="EM50" s="377"/>
      <c r="EN50" s="377"/>
      <c r="EO50" s="377"/>
      <c r="EP50" s="377"/>
      <c r="EQ50" s="377"/>
      <c r="ER50" s="377"/>
      <c r="ES50" s="377"/>
      <c r="ET50" s="377"/>
      <c r="EU50" s="377"/>
      <c r="EV50" s="377"/>
      <c r="EW50" s="377"/>
      <c r="EX50" s="377"/>
      <c r="EY50" s="377"/>
      <c r="EZ50" s="377"/>
      <c r="FA50" s="377"/>
      <c r="FB50" s="377"/>
      <c r="FC50" s="377"/>
      <c r="FD50" s="377"/>
      <c r="FE50" s="377"/>
      <c r="FF50" s="377"/>
      <c r="FG50" s="377"/>
      <c r="FH50" s="377"/>
      <c r="FI50" s="377"/>
      <c r="FJ50" s="377"/>
      <c r="FK50" s="377"/>
      <c r="FL50" s="377"/>
      <c r="FM50" s="377"/>
      <c r="FN50" s="377"/>
      <c r="FO50" s="377"/>
      <c r="FP50" s="377"/>
      <c r="FQ50" s="377"/>
      <c r="FR50" s="377"/>
      <c r="FS50" s="377"/>
      <c r="FT50" s="377"/>
      <c r="FU50" s="377"/>
      <c r="FV50" s="377"/>
      <c r="FW50" s="377"/>
      <c r="FX50" s="377"/>
      <c r="FY50" s="377"/>
      <c r="FZ50" s="377"/>
      <c r="GA50" s="377"/>
      <c r="GB50" s="377"/>
      <c r="GC50" s="377"/>
      <c r="GD50" s="377"/>
      <c r="GE50" s="377"/>
      <c r="GF50" s="377"/>
      <c r="GG50" s="377"/>
      <c r="GH50" s="377"/>
      <c r="GI50" s="377"/>
      <c r="GJ50" s="377"/>
      <c r="GK50" s="377"/>
      <c r="GL50" s="377"/>
      <c r="GM50" s="377"/>
      <c r="GN50" s="377"/>
      <c r="GO50" s="377"/>
      <c r="GP50" s="377"/>
      <c r="GQ50" s="377"/>
      <c r="GR50" s="377"/>
      <c r="GS50" s="377"/>
    </row>
    <row r="51" spans="1:201">
      <c r="A51" s="913"/>
      <c r="B51" s="914"/>
      <c r="C51" s="915"/>
      <c r="D51" s="901"/>
      <c r="E51" s="884"/>
      <c r="F51" s="869"/>
      <c r="G51" s="828"/>
      <c r="H51" s="828"/>
      <c r="I51" s="828"/>
      <c r="J51" s="828"/>
      <c r="K51" s="870"/>
      <c r="L51" s="828"/>
      <c r="M51" s="828"/>
      <c r="N51" s="828"/>
      <c r="O51" s="828"/>
      <c r="P51" s="828"/>
      <c r="Q51" s="828"/>
      <c r="R51" s="869"/>
      <c r="S51" s="828"/>
      <c r="T51" s="828"/>
      <c r="U51" s="828"/>
      <c r="V51" s="828"/>
      <c r="W51" s="870"/>
      <c r="X51" s="828">
        <v>0.6</v>
      </c>
      <c r="Y51" s="828"/>
      <c r="Z51" s="828"/>
      <c r="AA51" s="828"/>
      <c r="AB51" s="828"/>
      <c r="AC51" s="828"/>
      <c r="AD51" s="869">
        <v>0.2</v>
      </c>
      <c r="AE51" s="828"/>
      <c r="AF51" s="828"/>
      <c r="AG51" s="828"/>
      <c r="AH51" s="828"/>
      <c r="AI51" s="828"/>
      <c r="AJ51" s="828">
        <v>0.2</v>
      </c>
      <c r="AK51" s="828"/>
      <c r="AL51" s="828"/>
      <c r="AM51" s="828"/>
      <c r="AN51" s="828"/>
      <c r="AO51" s="829"/>
      <c r="AP51" s="517"/>
      <c r="AQ51" s="377"/>
      <c r="AR51" s="377"/>
      <c r="AS51" s="377"/>
      <c r="AT51" s="377"/>
      <c r="AU51" s="377"/>
      <c r="AV51" s="377"/>
      <c r="AW51" s="377"/>
      <c r="AX51" s="377"/>
      <c r="AY51" s="377"/>
      <c r="AZ51" s="377"/>
      <c r="BA51" s="377"/>
      <c r="BB51" s="377"/>
      <c r="BC51" s="377"/>
      <c r="BD51" s="377"/>
      <c r="BE51" s="377"/>
      <c r="BF51" s="377"/>
      <c r="BG51" s="377"/>
      <c r="BH51" s="377"/>
      <c r="BI51" s="377"/>
      <c r="BJ51" s="377"/>
      <c r="BK51" s="377"/>
      <c r="BL51" s="377"/>
      <c r="BM51" s="377"/>
      <c r="BN51" s="377"/>
      <c r="BO51" s="377"/>
      <c r="BP51" s="377"/>
      <c r="BQ51" s="377"/>
      <c r="BR51" s="377"/>
      <c r="BS51" s="377"/>
      <c r="BT51" s="377"/>
      <c r="BU51" s="377"/>
      <c r="BV51" s="377"/>
      <c r="BW51" s="377"/>
      <c r="BX51" s="377"/>
      <c r="BY51" s="377"/>
      <c r="BZ51" s="377"/>
      <c r="CA51" s="377"/>
      <c r="CB51" s="377"/>
      <c r="CC51" s="377"/>
      <c r="CD51" s="377"/>
      <c r="CE51" s="377"/>
      <c r="CF51" s="377"/>
      <c r="CG51" s="377"/>
      <c r="CH51" s="377"/>
      <c r="CI51" s="377"/>
      <c r="CJ51" s="377"/>
      <c r="CK51" s="377"/>
      <c r="CL51" s="377"/>
      <c r="CM51" s="377"/>
      <c r="CN51" s="377"/>
      <c r="CO51" s="377"/>
      <c r="CP51" s="377"/>
      <c r="CQ51" s="377"/>
      <c r="CR51" s="377"/>
      <c r="CS51" s="377"/>
      <c r="CT51" s="377"/>
      <c r="CU51" s="377"/>
      <c r="CV51" s="377"/>
      <c r="CW51" s="377"/>
      <c r="CX51" s="377"/>
      <c r="CY51" s="377"/>
      <c r="CZ51" s="377"/>
      <c r="DA51" s="377"/>
      <c r="DB51" s="377"/>
      <c r="DC51" s="377"/>
      <c r="DD51" s="377"/>
      <c r="DE51" s="377"/>
      <c r="DF51" s="377"/>
      <c r="DG51" s="377"/>
      <c r="DH51" s="377"/>
      <c r="DI51" s="377"/>
      <c r="DJ51" s="377"/>
      <c r="DK51" s="377"/>
      <c r="DL51" s="377"/>
      <c r="DM51" s="377"/>
      <c r="DN51" s="377"/>
      <c r="DO51" s="377"/>
      <c r="DP51" s="377"/>
      <c r="DQ51" s="377"/>
      <c r="DR51" s="377"/>
      <c r="DS51" s="377"/>
      <c r="DT51" s="377"/>
      <c r="DU51" s="377"/>
      <c r="DV51" s="377"/>
      <c r="DW51" s="377"/>
      <c r="DX51" s="377"/>
      <c r="DY51" s="377"/>
      <c r="DZ51" s="377"/>
      <c r="EA51" s="377"/>
      <c r="EB51" s="377"/>
      <c r="EC51" s="377"/>
      <c r="ED51" s="377"/>
      <c r="EE51" s="377"/>
      <c r="EF51" s="377"/>
      <c r="EG51" s="377"/>
      <c r="EH51" s="377"/>
      <c r="EI51" s="377"/>
      <c r="EJ51" s="377"/>
      <c r="EK51" s="377"/>
      <c r="EL51" s="377"/>
      <c r="EM51" s="377"/>
      <c r="EN51" s="377"/>
      <c r="EO51" s="377"/>
      <c r="EP51" s="377"/>
      <c r="EQ51" s="377"/>
      <c r="ER51" s="377"/>
      <c r="ES51" s="377"/>
      <c r="ET51" s="377"/>
      <c r="EU51" s="377"/>
      <c r="EV51" s="377"/>
      <c r="EW51" s="377"/>
      <c r="EX51" s="377"/>
      <c r="EY51" s="377"/>
      <c r="EZ51" s="377"/>
      <c r="FA51" s="377"/>
      <c r="FB51" s="377"/>
      <c r="FC51" s="377"/>
      <c r="FD51" s="377"/>
      <c r="FE51" s="377"/>
      <c r="FF51" s="377"/>
      <c r="FG51" s="377"/>
      <c r="FH51" s="377"/>
      <c r="FI51" s="377"/>
      <c r="FJ51" s="377"/>
      <c r="FK51" s="377"/>
      <c r="FL51" s="377"/>
      <c r="FM51" s="377"/>
      <c r="FN51" s="377"/>
      <c r="FO51" s="377"/>
      <c r="FP51" s="377"/>
      <c r="FQ51" s="377"/>
      <c r="FR51" s="377"/>
      <c r="FS51" s="377"/>
      <c r="FT51" s="377"/>
      <c r="FU51" s="377"/>
      <c r="FV51" s="377"/>
      <c r="FW51" s="377"/>
      <c r="FX51" s="377"/>
      <c r="FY51" s="377"/>
      <c r="FZ51" s="377"/>
      <c r="GA51" s="377"/>
      <c r="GB51" s="377"/>
      <c r="GC51" s="377"/>
      <c r="GD51" s="377"/>
      <c r="GE51" s="377"/>
      <c r="GF51" s="377"/>
      <c r="GG51" s="377"/>
      <c r="GH51" s="377"/>
      <c r="GI51" s="377"/>
      <c r="GJ51" s="377"/>
      <c r="GK51" s="377"/>
      <c r="GL51" s="377"/>
      <c r="GM51" s="377"/>
      <c r="GN51" s="377"/>
      <c r="GO51" s="377"/>
      <c r="GP51" s="377"/>
      <c r="GQ51" s="377"/>
      <c r="GR51" s="377"/>
      <c r="GS51" s="377"/>
    </row>
    <row r="52" spans="1:201">
      <c r="A52" s="806">
        <f>'PLANILHA ORÇAMENTARIA'!A114</f>
        <v>14</v>
      </c>
      <c r="B52" s="809" t="str">
        <f>'PLANILHA ORÇAMENTARIA'!B114</f>
        <v>PISOS</v>
      </c>
      <c r="C52" s="812"/>
      <c r="D52" s="815">
        <f>'PLANILHA ORÇAMENTARIA'!F114</f>
        <v>285935.29000000004</v>
      </c>
      <c r="E52" s="818">
        <f>D52/$D$82</f>
        <v>8.3509138543063285E-2</v>
      </c>
      <c r="F52" s="820">
        <f>$D$52*F54</f>
        <v>0</v>
      </c>
      <c r="G52" s="821"/>
      <c r="H52" s="821"/>
      <c r="I52" s="821"/>
      <c r="J52" s="821"/>
      <c r="K52" s="822"/>
      <c r="L52" s="821">
        <f>$D$52*L54</f>
        <v>0</v>
      </c>
      <c r="M52" s="821"/>
      <c r="N52" s="821"/>
      <c r="O52" s="821"/>
      <c r="P52" s="821"/>
      <c r="Q52" s="821"/>
      <c r="R52" s="820">
        <f>$D$52*R54</f>
        <v>0</v>
      </c>
      <c r="S52" s="821"/>
      <c r="T52" s="821"/>
      <c r="U52" s="821"/>
      <c r="V52" s="821"/>
      <c r="W52" s="822"/>
      <c r="X52" s="821">
        <f>$D$52*X54</f>
        <v>57187.058000000012</v>
      </c>
      <c r="Y52" s="821"/>
      <c r="Z52" s="821"/>
      <c r="AA52" s="821"/>
      <c r="AB52" s="821"/>
      <c r="AC52" s="821"/>
      <c r="AD52" s="820">
        <f>$D$52*AD54</f>
        <v>228748.23200000005</v>
      </c>
      <c r="AE52" s="821"/>
      <c r="AF52" s="821"/>
      <c r="AG52" s="821"/>
      <c r="AH52" s="821"/>
      <c r="AI52" s="821"/>
      <c r="AJ52" s="821">
        <f>$D$52*AJ54</f>
        <v>0</v>
      </c>
      <c r="AK52" s="821"/>
      <c r="AL52" s="821"/>
      <c r="AM52" s="821"/>
      <c r="AN52" s="821"/>
      <c r="AO52" s="823"/>
      <c r="AP52" s="520"/>
      <c r="AQ52" s="377"/>
      <c r="AR52" s="377"/>
      <c r="AS52" s="377"/>
      <c r="AT52" s="377"/>
      <c r="AU52" s="377"/>
      <c r="AV52" s="377"/>
      <c r="AW52" s="377"/>
      <c r="AX52" s="377"/>
      <c r="AY52" s="377"/>
      <c r="AZ52" s="377"/>
      <c r="BA52" s="377"/>
      <c r="BB52" s="377"/>
      <c r="BC52" s="377"/>
      <c r="BD52" s="377"/>
      <c r="BE52" s="377"/>
      <c r="BF52" s="377"/>
      <c r="BG52" s="377"/>
      <c r="BH52" s="377"/>
      <c r="BI52" s="377"/>
      <c r="BJ52" s="377"/>
      <c r="BK52" s="377"/>
      <c r="BL52" s="377"/>
      <c r="BM52" s="377"/>
      <c r="BN52" s="377"/>
      <c r="BO52" s="377"/>
      <c r="BP52" s="377"/>
      <c r="BQ52" s="377"/>
      <c r="BR52" s="377"/>
      <c r="BS52" s="377"/>
      <c r="BT52" s="377"/>
      <c r="BU52" s="377"/>
      <c r="BV52" s="377"/>
      <c r="BW52" s="377"/>
      <c r="BX52" s="377"/>
      <c r="BY52" s="377"/>
      <c r="BZ52" s="377"/>
      <c r="CA52" s="377"/>
      <c r="CB52" s="377"/>
      <c r="CC52" s="377"/>
      <c r="CD52" s="377"/>
      <c r="CE52" s="377"/>
      <c r="CF52" s="377"/>
      <c r="CG52" s="377"/>
      <c r="CH52" s="377"/>
      <c r="CI52" s="377"/>
      <c r="CJ52" s="377"/>
      <c r="CK52" s="377"/>
      <c r="CL52" s="377"/>
      <c r="CM52" s="377"/>
      <c r="CN52" s="377"/>
      <c r="CO52" s="377"/>
      <c r="CP52" s="377"/>
      <c r="CQ52" s="377"/>
      <c r="CR52" s="377"/>
      <c r="CS52" s="377"/>
      <c r="CT52" s="377"/>
      <c r="CU52" s="377"/>
      <c r="CV52" s="377"/>
      <c r="CW52" s="377"/>
      <c r="CX52" s="377"/>
      <c r="CY52" s="377"/>
      <c r="CZ52" s="377"/>
      <c r="DA52" s="377"/>
      <c r="DB52" s="377"/>
      <c r="DC52" s="377"/>
      <c r="DD52" s="377"/>
      <c r="DE52" s="377"/>
      <c r="DF52" s="377"/>
      <c r="DG52" s="377"/>
      <c r="DH52" s="377"/>
      <c r="DI52" s="377"/>
      <c r="DJ52" s="377"/>
      <c r="DK52" s="377"/>
      <c r="DL52" s="377"/>
      <c r="DM52" s="377"/>
      <c r="DN52" s="377"/>
      <c r="DO52" s="377"/>
      <c r="DP52" s="377"/>
      <c r="DQ52" s="377"/>
      <c r="DR52" s="377"/>
      <c r="DS52" s="377"/>
      <c r="DT52" s="377"/>
      <c r="DU52" s="377"/>
      <c r="DV52" s="377"/>
      <c r="DW52" s="377"/>
      <c r="DX52" s="377"/>
      <c r="DY52" s="377"/>
      <c r="DZ52" s="377"/>
      <c r="EA52" s="377"/>
      <c r="EB52" s="377"/>
      <c r="EC52" s="377"/>
      <c r="ED52" s="377"/>
      <c r="EE52" s="377"/>
      <c r="EF52" s="377"/>
      <c r="EG52" s="377"/>
      <c r="EH52" s="377"/>
      <c r="EI52" s="377"/>
      <c r="EJ52" s="377"/>
      <c r="EK52" s="377"/>
      <c r="EL52" s="377"/>
      <c r="EM52" s="377"/>
      <c r="EN52" s="377"/>
      <c r="EO52" s="377"/>
      <c r="EP52" s="377"/>
      <c r="EQ52" s="377"/>
      <c r="ER52" s="377"/>
      <c r="ES52" s="377"/>
      <c r="ET52" s="377"/>
      <c r="EU52" s="377"/>
      <c r="EV52" s="377"/>
      <c r="EW52" s="377"/>
      <c r="EX52" s="377"/>
      <c r="EY52" s="377"/>
      <c r="EZ52" s="377"/>
      <c r="FA52" s="377"/>
      <c r="FB52" s="377"/>
      <c r="FC52" s="377"/>
      <c r="FD52" s="377"/>
      <c r="FE52" s="377"/>
      <c r="FF52" s="377"/>
      <c r="FG52" s="377"/>
      <c r="FH52" s="377"/>
      <c r="FI52" s="377"/>
      <c r="FJ52" s="377"/>
      <c r="FK52" s="377"/>
      <c r="FL52" s="377"/>
      <c r="FM52" s="377"/>
      <c r="FN52" s="377"/>
      <c r="FO52" s="377"/>
      <c r="FP52" s="377"/>
      <c r="FQ52" s="377"/>
      <c r="FR52" s="377"/>
      <c r="FS52" s="377"/>
      <c r="FT52" s="377"/>
      <c r="FU52" s="377"/>
      <c r="FV52" s="377"/>
      <c r="FW52" s="377"/>
      <c r="FX52" s="377"/>
      <c r="FY52" s="377"/>
      <c r="FZ52" s="377"/>
      <c r="GA52" s="377"/>
      <c r="GB52" s="377"/>
      <c r="GC52" s="377"/>
      <c r="GD52" s="377"/>
      <c r="GE52" s="377"/>
      <c r="GF52" s="377"/>
      <c r="GG52" s="377"/>
      <c r="GH52" s="377"/>
      <c r="GI52" s="377"/>
      <c r="GJ52" s="377"/>
      <c r="GK52" s="377"/>
      <c r="GL52" s="377"/>
      <c r="GM52" s="377"/>
      <c r="GN52" s="377"/>
      <c r="GO52" s="377"/>
      <c r="GP52" s="377"/>
      <c r="GQ52" s="377"/>
      <c r="GR52" s="377"/>
      <c r="GS52" s="377"/>
    </row>
    <row r="53" spans="1:201" ht="5.0999999999999996" customHeight="1">
      <c r="A53" s="807"/>
      <c r="B53" s="810"/>
      <c r="C53" s="813"/>
      <c r="D53" s="816"/>
      <c r="E53" s="818"/>
      <c r="F53" s="725"/>
      <c r="G53" s="726"/>
      <c r="H53" s="726"/>
      <c r="I53" s="726"/>
      <c r="J53" s="726"/>
      <c r="K53" s="726"/>
      <c r="L53" s="727"/>
      <c r="M53" s="726"/>
      <c r="N53" s="726"/>
      <c r="O53" s="726"/>
      <c r="P53" s="726"/>
      <c r="Q53" s="728"/>
      <c r="R53" s="725"/>
      <c r="S53" s="726"/>
      <c r="T53" s="726"/>
      <c r="U53" s="726"/>
      <c r="V53" s="726"/>
      <c r="W53" s="726"/>
      <c r="X53" s="727">
        <v>1</v>
      </c>
      <c r="Y53" s="726">
        <v>1</v>
      </c>
      <c r="Z53" s="726">
        <v>1</v>
      </c>
      <c r="AA53" s="726">
        <v>1</v>
      </c>
      <c r="AB53" s="726">
        <v>1</v>
      </c>
      <c r="AC53" s="728">
        <v>1</v>
      </c>
      <c r="AD53" s="729">
        <v>1</v>
      </c>
      <c r="AE53" s="730">
        <v>1</v>
      </c>
      <c r="AF53" s="730">
        <v>1</v>
      </c>
      <c r="AG53" s="730">
        <v>1</v>
      </c>
      <c r="AH53" s="730">
        <v>1</v>
      </c>
      <c r="AI53" s="730">
        <v>1</v>
      </c>
      <c r="AJ53" s="731"/>
      <c r="AK53" s="730"/>
      <c r="AL53" s="730"/>
      <c r="AM53" s="730"/>
      <c r="AN53" s="730"/>
      <c r="AO53" s="732"/>
      <c r="AP53" s="517"/>
      <c r="AQ53" s="377"/>
      <c r="AR53" s="377"/>
      <c r="AS53" s="377"/>
      <c r="AT53" s="377"/>
      <c r="AU53" s="377"/>
      <c r="AV53" s="377"/>
      <c r="AW53" s="377"/>
      <c r="AX53" s="377"/>
      <c r="AY53" s="377"/>
      <c r="AZ53" s="377"/>
      <c r="BA53" s="377"/>
      <c r="BB53" s="377"/>
      <c r="BC53" s="377"/>
      <c r="BD53" s="377"/>
      <c r="BE53" s="377"/>
      <c r="BF53" s="377"/>
      <c r="BG53" s="377"/>
      <c r="BH53" s="377"/>
      <c r="BI53" s="377"/>
      <c r="BJ53" s="377"/>
      <c r="BK53" s="377"/>
      <c r="BL53" s="377"/>
      <c r="BM53" s="377"/>
      <c r="BN53" s="377"/>
      <c r="BO53" s="377"/>
      <c r="BP53" s="377"/>
      <c r="BQ53" s="377"/>
      <c r="BR53" s="377"/>
      <c r="BS53" s="377"/>
      <c r="BT53" s="377"/>
      <c r="BU53" s="377"/>
      <c r="BV53" s="377"/>
      <c r="BW53" s="377"/>
      <c r="BX53" s="377"/>
      <c r="BY53" s="377"/>
      <c r="BZ53" s="377"/>
      <c r="CA53" s="377"/>
      <c r="CB53" s="377"/>
      <c r="CC53" s="377"/>
      <c r="CD53" s="377"/>
      <c r="CE53" s="377"/>
      <c r="CF53" s="377"/>
      <c r="CG53" s="377"/>
      <c r="CH53" s="377"/>
      <c r="CI53" s="377"/>
      <c r="CJ53" s="377"/>
      <c r="CK53" s="377"/>
      <c r="CL53" s="377"/>
      <c r="CM53" s="377"/>
      <c r="CN53" s="377"/>
      <c r="CO53" s="377"/>
      <c r="CP53" s="377"/>
      <c r="CQ53" s="377"/>
      <c r="CR53" s="377"/>
      <c r="CS53" s="377"/>
      <c r="CT53" s="377"/>
      <c r="CU53" s="377"/>
      <c r="CV53" s="377"/>
      <c r="CW53" s="377"/>
      <c r="CX53" s="377"/>
      <c r="CY53" s="377"/>
      <c r="CZ53" s="377"/>
      <c r="DA53" s="377"/>
      <c r="DB53" s="377"/>
      <c r="DC53" s="377"/>
      <c r="DD53" s="377"/>
      <c r="DE53" s="377"/>
      <c r="DF53" s="377"/>
      <c r="DG53" s="377"/>
      <c r="DH53" s="377"/>
      <c r="DI53" s="377"/>
      <c r="DJ53" s="377"/>
      <c r="DK53" s="377"/>
      <c r="DL53" s="377"/>
      <c r="DM53" s="377"/>
      <c r="DN53" s="377"/>
      <c r="DO53" s="377"/>
      <c r="DP53" s="377"/>
      <c r="DQ53" s="377"/>
      <c r="DR53" s="377"/>
      <c r="DS53" s="377"/>
      <c r="DT53" s="377"/>
      <c r="DU53" s="377"/>
      <c r="DV53" s="377"/>
      <c r="DW53" s="377"/>
      <c r="DX53" s="377"/>
      <c r="DY53" s="377"/>
      <c r="DZ53" s="377"/>
      <c r="EA53" s="377"/>
      <c r="EB53" s="377"/>
      <c r="EC53" s="377"/>
      <c r="ED53" s="377"/>
      <c r="EE53" s="377"/>
      <c r="EF53" s="377"/>
      <c r="EG53" s="377"/>
      <c r="EH53" s="377"/>
      <c r="EI53" s="377"/>
      <c r="EJ53" s="377"/>
      <c r="EK53" s="377"/>
      <c r="EL53" s="377"/>
      <c r="EM53" s="377"/>
      <c r="EN53" s="377"/>
      <c r="EO53" s="377"/>
      <c r="EP53" s="377"/>
      <c r="EQ53" s="377"/>
      <c r="ER53" s="377"/>
      <c r="ES53" s="377"/>
      <c r="ET53" s="377"/>
      <c r="EU53" s="377"/>
      <c r="EV53" s="377"/>
      <c r="EW53" s="377"/>
      <c r="EX53" s="377"/>
      <c r="EY53" s="377"/>
      <c r="EZ53" s="377"/>
      <c r="FA53" s="377"/>
      <c r="FB53" s="377"/>
      <c r="FC53" s="377"/>
      <c r="FD53" s="377"/>
      <c r="FE53" s="377"/>
      <c r="FF53" s="377"/>
      <c r="FG53" s="377"/>
      <c r="FH53" s="377"/>
      <c r="FI53" s="377"/>
      <c r="FJ53" s="377"/>
      <c r="FK53" s="377"/>
      <c r="FL53" s="377"/>
      <c r="FM53" s="377"/>
      <c r="FN53" s="377"/>
      <c r="FO53" s="377"/>
      <c r="FP53" s="377"/>
      <c r="FQ53" s="377"/>
      <c r="FR53" s="377"/>
      <c r="FS53" s="377"/>
      <c r="FT53" s="377"/>
      <c r="FU53" s="377"/>
      <c r="FV53" s="377"/>
      <c r="FW53" s="377"/>
      <c r="FX53" s="377"/>
      <c r="FY53" s="377"/>
      <c r="FZ53" s="377"/>
      <c r="GA53" s="377"/>
      <c r="GB53" s="377"/>
      <c r="GC53" s="377"/>
      <c r="GD53" s="377"/>
      <c r="GE53" s="377"/>
      <c r="GF53" s="377"/>
      <c r="GG53" s="377"/>
      <c r="GH53" s="377"/>
      <c r="GI53" s="377"/>
      <c r="GJ53" s="377"/>
      <c r="GK53" s="377"/>
      <c r="GL53" s="377"/>
      <c r="GM53" s="377"/>
      <c r="GN53" s="377"/>
      <c r="GO53" s="377"/>
      <c r="GP53" s="377"/>
      <c r="GQ53" s="377"/>
      <c r="GR53" s="377"/>
      <c r="GS53" s="377"/>
    </row>
    <row r="54" spans="1:201">
      <c r="A54" s="808"/>
      <c r="B54" s="811"/>
      <c r="C54" s="814"/>
      <c r="D54" s="817"/>
      <c r="E54" s="819"/>
      <c r="F54" s="824"/>
      <c r="G54" s="825"/>
      <c r="H54" s="825"/>
      <c r="I54" s="825"/>
      <c r="J54" s="825"/>
      <c r="K54" s="826"/>
      <c r="L54" s="825"/>
      <c r="M54" s="825"/>
      <c r="N54" s="825"/>
      <c r="O54" s="825"/>
      <c r="P54" s="825"/>
      <c r="Q54" s="825"/>
      <c r="R54" s="824"/>
      <c r="S54" s="825"/>
      <c r="T54" s="825"/>
      <c r="U54" s="825"/>
      <c r="V54" s="825"/>
      <c r="W54" s="826"/>
      <c r="X54" s="825">
        <v>0.2</v>
      </c>
      <c r="Y54" s="825"/>
      <c r="Z54" s="825"/>
      <c r="AA54" s="825"/>
      <c r="AB54" s="825"/>
      <c r="AC54" s="825"/>
      <c r="AD54" s="824">
        <v>0.8</v>
      </c>
      <c r="AE54" s="825"/>
      <c r="AF54" s="825"/>
      <c r="AG54" s="825"/>
      <c r="AH54" s="825"/>
      <c r="AI54" s="825"/>
      <c r="AJ54" s="825"/>
      <c r="AK54" s="825"/>
      <c r="AL54" s="825"/>
      <c r="AM54" s="825"/>
      <c r="AN54" s="825"/>
      <c r="AO54" s="827"/>
      <c r="AP54" s="517"/>
      <c r="AQ54" s="377"/>
      <c r="AR54" s="377"/>
      <c r="AS54" s="377"/>
      <c r="AT54" s="377"/>
      <c r="AU54" s="377"/>
      <c r="AV54" s="377"/>
      <c r="AW54" s="377"/>
      <c r="AX54" s="377"/>
      <c r="AY54" s="377"/>
      <c r="AZ54" s="377"/>
      <c r="BA54" s="377"/>
      <c r="BB54" s="377"/>
      <c r="BC54" s="377"/>
      <c r="BD54" s="377"/>
      <c r="BE54" s="377"/>
      <c r="BF54" s="377"/>
      <c r="BG54" s="377"/>
      <c r="BH54" s="377"/>
      <c r="BI54" s="377"/>
      <c r="BJ54" s="377"/>
      <c r="BK54" s="377"/>
      <c r="BL54" s="377"/>
      <c r="BM54" s="377"/>
      <c r="BN54" s="377"/>
      <c r="BO54" s="377"/>
      <c r="BP54" s="377"/>
      <c r="BQ54" s="377"/>
      <c r="BR54" s="377"/>
      <c r="BS54" s="377"/>
      <c r="BT54" s="377"/>
      <c r="BU54" s="377"/>
      <c r="BV54" s="377"/>
      <c r="BW54" s="377"/>
      <c r="BX54" s="377"/>
      <c r="BY54" s="377"/>
      <c r="BZ54" s="377"/>
      <c r="CA54" s="377"/>
      <c r="CB54" s="377"/>
      <c r="CC54" s="377"/>
      <c r="CD54" s="377"/>
      <c r="CE54" s="377"/>
      <c r="CF54" s="377"/>
      <c r="CG54" s="377"/>
      <c r="CH54" s="377"/>
      <c r="CI54" s="377"/>
      <c r="CJ54" s="377"/>
      <c r="CK54" s="377"/>
      <c r="CL54" s="377"/>
      <c r="CM54" s="377"/>
      <c r="CN54" s="377"/>
      <c r="CO54" s="377"/>
      <c r="CP54" s="377"/>
      <c r="CQ54" s="377"/>
      <c r="CR54" s="377"/>
      <c r="CS54" s="377"/>
      <c r="CT54" s="377"/>
      <c r="CU54" s="377"/>
      <c r="CV54" s="377"/>
      <c r="CW54" s="377"/>
      <c r="CX54" s="377"/>
      <c r="CY54" s="377"/>
      <c r="CZ54" s="377"/>
      <c r="DA54" s="377"/>
      <c r="DB54" s="377"/>
      <c r="DC54" s="377"/>
      <c r="DD54" s="377"/>
      <c r="DE54" s="377"/>
      <c r="DF54" s="377"/>
      <c r="DG54" s="377"/>
      <c r="DH54" s="377"/>
      <c r="DI54" s="377"/>
      <c r="DJ54" s="377"/>
      <c r="DK54" s="377"/>
      <c r="DL54" s="377"/>
      <c r="DM54" s="377"/>
      <c r="DN54" s="377"/>
      <c r="DO54" s="377"/>
      <c r="DP54" s="377"/>
      <c r="DQ54" s="377"/>
      <c r="DR54" s="377"/>
      <c r="DS54" s="377"/>
      <c r="DT54" s="377"/>
      <c r="DU54" s="377"/>
      <c r="DV54" s="377"/>
      <c r="DW54" s="377"/>
      <c r="DX54" s="377"/>
      <c r="DY54" s="377"/>
      <c r="DZ54" s="377"/>
      <c r="EA54" s="377"/>
      <c r="EB54" s="377"/>
      <c r="EC54" s="377"/>
      <c r="ED54" s="377"/>
      <c r="EE54" s="377"/>
      <c r="EF54" s="377"/>
      <c r="EG54" s="377"/>
      <c r="EH54" s="377"/>
      <c r="EI54" s="377"/>
      <c r="EJ54" s="377"/>
      <c r="EK54" s="377"/>
      <c r="EL54" s="377"/>
      <c r="EM54" s="377"/>
      <c r="EN54" s="377"/>
      <c r="EO54" s="377"/>
      <c r="EP54" s="377"/>
      <c r="EQ54" s="377"/>
      <c r="ER54" s="377"/>
      <c r="ES54" s="377"/>
      <c r="ET54" s="377"/>
      <c r="EU54" s="377"/>
      <c r="EV54" s="377"/>
      <c r="EW54" s="377"/>
      <c r="EX54" s="377"/>
      <c r="EY54" s="377"/>
      <c r="EZ54" s="377"/>
      <c r="FA54" s="377"/>
      <c r="FB54" s="377"/>
      <c r="FC54" s="377"/>
      <c r="FD54" s="377"/>
      <c r="FE54" s="377"/>
      <c r="FF54" s="377"/>
      <c r="FG54" s="377"/>
      <c r="FH54" s="377"/>
      <c r="FI54" s="377"/>
      <c r="FJ54" s="377"/>
      <c r="FK54" s="377"/>
      <c r="FL54" s="377"/>
      <c r="FM54" s="377"/>
      <c r="FN54" s="377"/>
      <c r="FO54" s="377"/>
      <c r="FP54" s="377"/>
      <c r="FQ54" s="377"/>
      <c r="FR54" s="377"/>
      <c r="FS54" s="377"/>
      <c r="FT54" s="377"/>
      <c r="FU54" s="377"/>
      <c r="FV54" s="377"/>
      <c r="FW54" s="377"/>
      <c r="FX54" s="377"/>
      <c r="FY54" s="377"/>
      <c r="FZ54" s="377"/>
      <c r="GA54" s="377"/>
      <c r="GB54" s="377"/>
      <c r="GC54" s="377"/>
      <c r="GD54" s="377"/>
      <c r="GE54" s="377"/>
      <c r="GF54" s="377"/>
      <c r="GG54" s="377"/>
      <c r="GH54" s="377"/>
      <c r="GI54" s="377"/>
      <c r="GJ54" s="377"/>
      <c r="GK54" s="377"/>
      <c r="GL54" s="377"/>
      <c r="GM54" s="377"/>
      <c r="GN54" s="377"/>
      <c r="GO54" s="377"/>
      <c r="GP54" s="377"/>
      <c r="GQ54" s="377"/>
      <c r="GR54" s="377"/>
      <c r="GS54" s="377"/>
    </row>
    <row r="55" spans="1:201">
      <c r="A55" s="871">
        <f>'PLANILHA ORÇAMENTARIA'!A126</f>
        <v>15</v>
      </c>
      <c r="B55" s="904" t="str">
        <f>'PLANILHA ORÇAMENTARIA'!B126</f>
        <v>PINTURA</v>
      </c>
      <c r="C55" s="907"/>
      <c r="D55" s="909">
        <f>'PLANILHA ORÇAMENTARIA'!F126</f>
        <v>131631.83000000002</v>
      </c>
      <c r="E55" s="883">
        <f>D55/$D$82</f>
        <v>3.8443875634053264E-2</v>
      </c>
      <c r="F55" s="885">
        <f>$D$55*F57</f>
        <v>0</v>
      </c>
      <c r="G55" s="830"/>
      <c r="H55" s="830"/>
      <c r="I55" s="830"/>
      <c r="J55" s="830"/>
      <c r="K55" s="886"/>
      <c r="L55" s="830">
        <f>$D$55*L57</f>
        <v>0</v>
      </c>
      <c r="M55" s="830"/>
      <c r="N55" s="830"/>
      <c r="O55" s="830"/>
      <c r="P55" s="830"/>
      <c r="Q55" s="830"/>
      <c r="R55" s="885">
        <f>$D$55*R57</f>
        <v>0</v>
      </c>
      <c r="S55" s="830"/>
      <c r="T55" s="830"/>
      <c r="U55" s="830"/>
      <c r="V55" s="830"/>
      <c r="W55" s="886"/>
      <c r="X55" s="830">
        <f>$D$55*X57</f>
        <v>0</v>
      </c>
      <c r="Y55" s="830"/>
      <c r="Z55" s="830"/>
      <c r="AA55" s="830"/>
      <c r="AB55" s="830"/>
      <c r="AC55" s="830"/>
      <c r="AD55" s="885">
        <f>$D$55*AD57</f>
        <v>39489.549000000006</v>
      </c>
      <c r="AE55" s="830"/>
      <c r="AF55" s="830"/>
      <c r="AG55" s="830"/>
      <c r="AH55" s="830"/>
      <c r="AI55" s="830"/>
      <c r="AJ55" s="830">
        <f>$D$55*AJ57</f>
        <v>92142.281000000003</v>
      </c>
      <c r="AK55" s="830"/>
      <c r="AL55" s="830"/>
      <c r="AM55" s="830"/>
      <c r="AN55" s="830"/>
      <c r="AO55" s="831"/>
      <c r="AP55" s="520"/>
      <c r="AQ55" s="377"/>
      <c r="AR55" s="377"/>
      <c r="AS55" s="377"/>
      <c r="AT55" s="377"/>
      <c r="AU55" s="377"/>
      <c r="AV55" s="377"/>
      <c r="AW55" s="377"/>
      <c r="AX55" s="377"/>
      <c r="AY55" s="377"/>
      <c r="AZ55" s="377"/>
      <c r="BA55" s="377"/>
      <c r="BB55" s="377"/>
      <c r="BC55" s="377"/>
      <c r="BD55" s="377"/>
      <c r="BE55" s="377"/>
      <c r="BF55" s="377"/>
      <c r="BG55" s="377"/>
      <c r="BH55" s="377"/>
      <c r="BI55" s="377"/>
      <c r="BJ55" s="377"/>
      <c r="BK55" s="377"/>
      <c r="BL55" s="377"/>
      <c r="BM55" s="377"/>
      <c r="BN55" s="377"/>
      <c r="BO55" s="377"/>
      <c r="BP55" s="377"/>
      <c r="BQ55" s="377"/>
      <c r="BR55" s="377"/>
      <c r="BS55" s="377"/>
      <c r="BT55" s="377"/>
      <c r="BU55" s="377"/>
      <c r="BV55" s="377"/>
      <c r="BW55" s="377"/>
      <c r="BX55" s="377"/>
      <c r="BY55" s="377"/>
      <c r="BZ55" s="377"/>
      <c r="CA55" s="377"/>
      <c r="CB55" s="377"/>
      <c r="CC55" s="377"/>
      <c r="CD55" s="377"/>
      <c r="CE55" s="377"/>
      <c r="CF55" s="377"/>
      <c r="CG55" s="377"/>
      <c r="CH55" s="377"/>
      <c r="CI55" s="377"/>
      <c r="CJ55" s="377"/>
      <c r="CK55" s="377"/>
      <c r="CL55" s="377"/>
      <c r="CM55" s="377"/>
      <c r="CN55" s="377"/>
      <c r="CO55" s="377"/>
      <c r="CP55" s="377"/>
      <c r="CQ55" s="377"/>
      <c r="CR55" s="377"/>
      <c r="CS55" s="377"/>
      <c r="CT55" s="377"/>
      <c r="CU55" s="377"/>
      <c r="CV55" s="377"/>
      <c r="CW55" s="377"/>
      <c r="CX55" s="377"/>
      <c r="CY55" s="377"/>
      <c r="CZ55" s="377"/>
      <c r="DA55" s="377"/>
      <c r="DB55" s="377"/>
      <c r="DC55" s="377"/>
      <c r="DD55" s="377"/>
      <c r="DE55" s="377"/>
      <c r="DF55" s="377"/>
      <c r="DG55" s="377"/>
      <c r="DH55" s="377"/>
      <c r="DI55" s="377"/>
      <c r="DJ55" s="377"/>
      <c r="DK55" s="377"/>
      <c r="DL55" s="377"/>
      <c r="DM55" s="377"/>
      <c r="DN55" s="377"/>
      <c r="DO55" s="377"/>
      <c r="DP55" s="377"/>
      <c r="DQ55" s="377"/>
      <c r="DR55" s="377"/>
      <c r="DS55" s="377"/>
      <c r="DT55" s="377"/>
      <c r="DU55" s="377"/>
      <c r="DV55" s="377"/>
      <c r="DW55" s="377"/>
      <c r="DX55" s="377"/>
      <c r="DY55" s="377"/>
      <c r="DZ55" s="377"/>
      <c r="EA55" s="377"/>
      <c r="EB55" s="377"/>
      <c r="EC55" s="377"/>
      <c r="ED55" s="377"/>
      <c r="EE55" s="377"/>
      <c r="EF55" s="377"/>
      <c r="EG55" s="377"/>
      <c r="EH55" s="377"/>
      <c r="EI55" s="377"/>
      <c r="EJ55" s="377"/>
      <c r="EK55" s="377"/>
      <c r="EL55" s="377"/>
      <c r="EM55" s="377"/>
      <c r="EN55" s="377"/>
      <c r="EO55" s="377"/>
      <c r="EP55" s="377"/>
      <c r="EQ55" s="377"/>
      <c r="ER55" s="377"/>
      <c r="ES55" s="377"/>
      <c r="ET55" s="377"/>
      <c r="EU55" s="377"/>
      <c r="EV55" s="377"/>
      <c r="EW55" s="377"/>
      <c r="EX55" s="377"/>
      <c r="EY55" s="377"/>
      <c r="EZ55" s="377"/>
      <c r="FA55" s="377"/>
      <c r="FB55" s="377"/>
      <c r="FC55" s="377"/>
      <c r="FD55" s="377"/>
      <c r="FE55" s="377"/>
      <c r="FF55" s="377"/>
      <c r="FG55" s="377"/>
      <c r="FH55" s="377"/>
      <c r="FI55" s="377"/>
      <c r="FJ55" s="377"/>
      <c r="FK55" s="377"/>
      <c r="FL55" s="377"/>
      <c r="FM55" s="377"/>
      <c r="FN55" s="377"/>
      <c r="FO55" s="377"/>
      <c r="FP55" s="377"/>
      <c r="FQ55" s="377"/>
      <c r="FR55" s="377"/>
      <c r="FS55" s="377"/>
      <c r="FT55" s="377"/>
      <c r="FU55" s="377"/>
      <c r="FV55" s="377"/>
      <c r="FW55" s="377"/>
      <c r="FX55" s="377"/>
      <c r="FY55" s="377"/>
      <c r="FZ55" s="377"/>
      <c r="GA55" s="377"/>
      <c r="GB55" s="377"/>
      <c r="GC55" s="377"/>
      <c r="GD55" s="377"/>
      <c r="GE55" s="377"/>
      <c r="GF55" s="377"/>
      <c r="GG55" s="377"/>
      <c r="GH55" s="377"/>
      <c r="GI55" s="377"/>
      <c r="GJ55" s="377"/>
      <c r="GK55" s="377"/>
      <c r="GL55" s="377"/>
      <c r="GM55" s="377"/>
      <c r="GN55" s="377"/>
      <c r="GO55" s="377"/>
      <c r="GP55" s="377"/>
      <c r="GQ55" s="377"/>
      <c r="GR55" s="377"/>
      <c r="GS55" s="377"/>
    </row>
    <row r="56" spans="1:201" ht="5.0999999999999996" customHeight="1">
      <c r="A56" s="872"/>
      <c r="B56" s="905"/>
      <c r="C56" s="899"/>
      <c r="D56" s="880"/>
      <c r="E56" s="883"/>
      <c r="F56" s="718"/>
      <c r="G56" s="719"/>
      <c r="H56" s="719"/>
      <c r="I56" s="719"/>
      <c r="J56" s="719"/>
      <c r="K56" s="719"/>
      <c r="L56" s="720"/>
      <c r="M56" s="719"/>
      <c r="N56" s="719"/>
      <c r="O56" s="719"/>
      <c r="P56" s="719"/>
      <c r="Q56" s="721"/>
      <c r="R56" s="718"/>
      <c r="S56" s="719"/>
      <c r="T56" s="719"/>
      <c r="U56" s="719"/>
      <c r="V56" s="719"/>
      <c r="W56" s="719"/>
      <c r="X56" s="720"/>
      <c r="Y56" s="719"/>
      <c r="Z56" s="719"/>
      <c r="AA56" s="719"/>
      <c r="AB56" s="719"/>
      <c r="AC56" s="721"/>
      <c r="AD56" s="733">
        <v>1</v>
      </c>
      <c r="AE56" s="723">
        <v>1</v>
      </c>
      <c r="AF56" s="723">
        <v>1</v>
      </c>
      <c r="AG56" s="723">
        <v>1</v>
      </c>
      <c r="AH56" s="723">
        <v>1</v>
      </c>
      <c r="AI56" s="723">
        <v>1</v>
      </c>
      <c r="AJ56" s="722">
        <v>1</v>
      </c>
      <c r="AK56" s="723">
        <v>1</v>
      </c>
      <c r="AL56" s="723">
        <v>1</v>
      </c>
      <c r="AM56" s="723">
        <v>1</v>
      </c>
      <c r="AN56" s="723">
        <v>1</v>
      </c>
      <c r="AO56" s="724">
        <v>1</v>
      </c>
      <c r="AP56" s="517"/>
      <c r="AQ56" s="377"/>
      <c r="AR56" s="377"/>
      <c r="AS56" s="377"/>
      <c r="AT56" s="377"/>
      <c r="AU56" s="377"/>
      <c r="AV56" s="377"/>
      <c r="AW56" s="377"/>
      <c r="AX56" s="377"/>
      <c r="AY56" s="377"/>
      <c r="AZ56" s="377"/>
      <c r="BA56" s="377"/>
      <c r="BB56" s="377"/>
      <c r="BC56" s="377"/>
      <c r="BD56" s="377"/>
      <c r="BE56" s="377"/>
      <c r="BF56" s="377"/>
      <c r="BG56" s="377"/>
      <c r="BH56" s="377"/>
      <c r="BI56" s="377"/>
      <c r="BJ56" s="377"/>
      <c r="BK56" s="377"/>
      <c r="BL56" s="377"/>
      <c r="BM56" s="377"/>
      <c r="BN56" s="377"/>
      <c r="BO56" s="377"/>
      <c r="BP56" s="377"/>
      <c r="BQ56" s="377"/>
      <c r="BR56" s="377"/>
      <c r="BS56" s="377"/>
      <c r="BT56" s="377"/>
      <c r="BU56" s="377"/>
      <c r="BV56" s="377"/>
      <c r="BW56" s="377"/>
      <c r="BX56" s="377"/>
      <c r="BY56" s="377"/>
      <c r="BZ56" s="377"/>
      <c r="CA56" s="377"/>
      <c r="CB56" s="377"/>
      <c r="CC56" s="377"/>
      <c r="CD56" s="377"/>
      <c r="CE56" s="377"/>
      <c r="CF56" s="377"/>
      <c r="CG56" s="377"/>
      <c r="CH56" s="377"/>
      <c r="CI56" s="377"/>
      <c r="CJ56" s="377"/>
      <c r="CK56" s="377"/>
      <c r="CL56" s="377"/>
      <c r="CM56" s="377"/>
      <c r="CN56" s="377"/>
      <c r="CO56" s="377"/>
      <c r="CP56" s="377"/>
      <c r="CQ56" s="377"/>
      <c r="CR56" s="377"/>
      <c r="CS56" s="377"/>
      <c r="CT56" s="377"/>
      <c r="CU56" s="377"/>
      <c r="CV56" s="377"/>
      <c r="CW56" s="377"/>
      <c r="CX56" s="377"/>
      <c r="CY56" s="377"/>
      <c r="CZ56" s="377"/>
      <c r="DA56" s="377"/>
      <c r="DB56" s="377"/>
      <c r="DC56" s="377"/>
      <c r="DD56" s="377"/>
      <c r="DE56" s="377"/>
      <c r="DF56" s="377"/>
      <c r="DG56" s="377"/>
      <c r="DH56" s="377"/>
      <c r="DI56" s="377"/>
      <c r="DJ56" s="377"/>
      <c r="DK56" s="377"/>
      <c r="DL56" s="377"/>
      <c r="DM56" s="377"/>
      <c r="DN56" s="377"/>
      <c r="DO56" s="377"/>
      <c r="DP56" s="377"/>
      <c r="DQ56" s="377"/>
      <c r="DR56" s="377"/>
      <c r="DS56" s="377"/>
      <c r="DT56" s="377"/>
      <c r="DU56" s="377"/>
      <c r="DV56" s="377"/>
      <c r="DW56" s="377"/>
      <c r="DX56" s="377"/>
      <c r="DY56" s="377"/>
      <c r="DZ56" s="377"/>
      <c r="EA56" s="377"/>
      <c r="EB56" s="377"/>
      <c r="EC56" s="377"/>
      <c r="ED56" s="377"/>
      <c r="EE56" s="377"/>
      <c r="EF56" s="377"/>
      <c r="EG56" s="377"/>
      <c r="EH56" s="377"/>
      <c r="EI56" s="377"/>
      <c r="EJ56" s="377"/>
      <c r="EK56" s="377"/>
      <c r="EL56" s="377"/>
      <c r="EM56" s="377"/>
      <c r="EN56" s="377"/>
      <c r="EO56" s="377"/>
      <c r="EP56" s="377"/>
      <c r="EQ56" s="377"/>
      <c r="ER56" s="377"/>
      <c r="ES56" s="377"/>
      <c r="ET56" s="377"/>
      <c r="EU56" s="377"/>
      <c r="EV56" s="377"/>
      <c r="EW56" s="377"/>
      <c r="EX56" s="377"/>
      <c r="EY56" s="377"/>
      <c r="EZ56" s="377"/>
      <c r="FA56" s="377"/>
      <c r="FB56" s="377"/>
      <c r="FC56" s="377"/>
      <c r="FD56" s="377"/>
      <c r="FE56" s="377"/>
      <c r="FF56" s="377"/>
      <c r="FG56" s="377"/>
      <c r="FH56" s="377"/>
      <c r="FI56" s="377"/>
      <c r="FJ56" s="377"/>
      <c r="FK56" s="377"/>
      <c r="FL56" s="377"/>
      <c r="FM56" s="377"/>
      <c r="FN56" s="377"/>
      <c r="FO56" s="377"/>
      <c r="FP56" s="377"/>
      <c r="FQ56" s="377"/>
      <c r="FR56" s="377"/>
      <c r="FS56" s="377"/>
      <c r="FT56" s="377"/>
      <c r="FU56" s="377"/>
      <c r="FV56" s="377"/>
      <c r="FW56" s="377"/>
      <c r="FX56" s="377"/>
      <c r="FY56" s="377"/>
      <c r="FZ56" s="377"/>
      <c r="GA56" s="377"/>
      <c r="GB56" s="377"/>
      <c r="GC56" s="377"/>
      <c r="GD56" s="377"/>
      <c r="GE56" s="377"/>
      <c r="GF56" s="377"/>
      <c r="GG56" s="377"/>
      <c r="GH56" s="377"/>
      <c r="GI56" s="377"/>
      <c r="GJ56" s="377"/>
      <c r="GK56" s="377"/>
      <c r="GL56" s="377"/>
      <c r="GM56" s="377"/>
      <c r="GN56" s="377"/>
      <c r="GO56" s="377"/>
      <c r="GP56" s="377"/>
      <c r="GQ56" s="377"/>
      <c r="GR56" s="377"/>
      <c r="GS56" s="377"/>
    </row>
    <row r="57" spans="1:201">
      <c r="A57" s="873"/>
      <c r="B57" s="906"/>
      <c r="C57" s="908"/>
      <c r="D57" s="910"/>
      <c r="E57" s="884"/>
      <c r="F57" s="869"/>
      <c r="G57" s="828"/>
      <c r="H57" s="828"/>
      <c r="I57" s="828"/>
      <c r="J57" s="828"/>
      <c r="K57" s="870"/>
      <c r="L57" s="828"/>
      <c r="M57" s="828"/>
      <c r="N57" s="828"/>
      <c r="O57" s="828"/>
      <c r="P57" s="828"/>
      <c r="Q57" s="828"/>
      <c r="R57" s="869"/>
      <c r="S57" s="828"/>
      <c r="T57" s="828"/>
      <c r="U57" s="828"/>
      <c r="V57" s="828"/>
      <c r="W57" s="870"/>
      <c r="X57" s="828"/>
      <c r="Y57" s="828"/>
      <c r="Z57" s="828"/>
      <c r="AA57" s="828"/>
      <c r="AB57" s="828"/>
      <c r="AC57" s="828"/>
      <c r="AD57" s="869">
        <v>0.3</v>
      </c>
      <c r="AE57" s="828"/>
      <c r="AF57" s="828"/>
      <c r="AG57" s="828"/>
      <c r="AH57" s="828"/>
      <c r="AI57" s="828"/>
      <c r="AJ57" s="828">
        <v>0.7</v>
      </c>
      <c r="AK57" s="828"/>
      <c r="AL57" s="828"/>
      <c r="AM57" s="828"/>
      <c r="AN57" s="828"/>
      <c r="AO57" s="829"/>
      <c r="AP57" s="517"/>
      <c r="AQ57" s="377"/>
      <c r="AR57" s="377"/>
      <c r="AS57" s="377"/>
      <c r="AT57" s="377"/>
      <c r="AU57" s="377"/>
      <c r="AV57" s="377"/>
      <c r="AW57" s="377"/>
      <c r="AX57" s="377"/>
      <c r="AY57" s="377"/>
      <c r="AZ57" s="377"/>
      <c r="BA57" s="377"/>
      <c r="BB57" s="377"/>
      <c r="BC57" s="377"/>
      <c r="BD57" s="377"/>
      <c r="BE57" s="377"/>
      <c r="BF57" s="377"/>
      <c r="BG57" s="377"/>
      <c r="BH57" s="377"/>
      <c r="BI57" s="377"/>
      <c r="BJ57" s="377"/>
      <c r="BK57" s="377"/>
      <c r="BL57" s="377"/>
      <c r="BM57" s="377"/>
      <c r="BN57" s="377"/>
      <c r="BO57" s="377"/>
      <c r="BP57" s="377"/>
      <c r="BQ57" s="377"/>
      <c r="BR57" s="377"/>
      <c r="BS57" s="377"/>
      <c r="BT57" s="377"/>
      <c r="BU57" s="377"/>
      <c r="BV57" s="377"/>
      <c r="BW57" s="377"/>
      <c r="BX57" s="377"/>
      <c r="BY57" s="377"/>
      <c r="BZ57" s="377"/>
      <c r="CA57" s="377"/>
      <c r="CB57" s="377"/>
      <c r="CC57" s="377"/>
      <c r="CD57" s="377"/>
      <c r="CE57" s="377"/>
      <c r="CF57" s="377"/>
      <c r="CG57" s="377"/>
      <c r="CH57" s="377"/>
      <c r="CI57" s="377"/>
      <c r="CJ57" s="377"/>
      <c r="CK57" s="377"/>
      <c r="CL57" s="377"/>
      <c r="CM57" s="377"/>
      <c r="CN57" s="377"/>
      <c r="CO57" s="377"/>
      <c r="CP57" s="377"/>
      <c r="CQ57" s="377"/>
      <c r="CR57" s="377"/>
      <c r="CS57" s="377"/>
      <c r="CT57" s="377"/>
      <c r="CU57" s="377"/>
      <c r="CV57" s="377"/>
      <c r="CW57" s="377"/>
      <c r="CX57" s="377"/>
      <c r="CY57" s="377"/>
      <c r="CZ57" s="377"/>
      <c r="DA57" s="377"/>
      <c r="DB57" s="377"/>
      <c r="DC57" s="377"/>
      <c r="DD57" s="377"/>
      <c r="DE57" s="377"/>
      <c r="DF57" s="377"/>
      <c r="DG57" s="377"/>
      <c r="DH57" s="377"/>
      <c r="DI57" s="377"/>
      <c r="DJ57" s="377"/>
      <c r="DK57" s="377"/>
      <c r="DL57" s="377"/>
      <c r="DM57" s="377"/>
      <c r="DN57" s="377"/>
      <c r="DO57" s="377"/>
      <c r="DP57" s="377"/>
      <c r="DQ57" s="377"/>
      <c r="DR57" s="377"/>
      <c r="DS57" s="377"/>
      <c r="DT57" s="377"/>
      <c r="DU57" s="377"/>
      <c r="DV57" s="377"/>
      <c r="DW57" s="377"/>
      <c r="DX57" s="377"/>
      <c r="DY57" s="377"/>
      <c r="DZ57" s="377"/>
      <c r="EA57" s="377"/>
      <c r="EB57" s="377"/>
      <c r="EC57" s="377"/>
      <c r="ED57" s="377"/>
      <c r="EE57" s="377"/>
      <c r="EF57" s="377"/>
      <c r="EG57" s="377"/>
      <c r="EH57" s="377"/>
      <c r="EI57" s="377"/>
      <c r="EJ57" s="377"/>
      <c r="EK57" s="377"/>
      <c r="EL57" s="377"/>
      <c r="EM57" s="377"/>
      <c r="EN57" s="377"/>
      <c r="EO57" s="377"/>
      <c r="EP57" s="377"/>
      <c r="EQ57" s="377"/>
      <c r="ER57" s="377"/>
      <c r="ES57" s="377"/>
      <c r="ET57" s="377"/>
      <c r="EU57" s="377"/>
      <c r="EV57" s="377"/>
      <c r="EW57" s="377"/>
      <c r="EX57" s="377"/>
      <c r="EY57" s="377"/>
      <c r="EZ57" s="377"/>
      <c r="FA57" s="377"/>
      <c r="FB57" s="377"/>
      <c r="FC57" s="377"/>
      <c r="FD57" s="377"/>
      <c r="FE57" s="377"/>
      <c r="FF57" s="377"/>
      <c r="FG57" s="377"/>
      <c r="FH57" s="377"/>
      <c r="FI57" s="377"/>
      <c r="FJ57" s="377"/>
      <c r="FK57" s="377"/>
      <c r="FL57" s="377"/>
      <c r="FM57" s="377"/>
      <c r="FN57" s="377"/>
      <c r="FO57" s="377"/>
      <c r="FP57" s="377"/>
      <c r="FQ57" s="377"/>
      <c r="FR57" s="377"/>
      <c r="FS57" s="377"/>
      <c r="FT57" s="377"/>
      <c r="FU57" s="377"/>
      <c r="FV57" s="377"/>
      <c r="FW57" s="377"/>
      <c r="FX57" s="377"/>
      <c r="FY57" s="377"/>
      <c r="FZ57" s="377"/>
      <c r="GA57" s="377"/>
      <c r="GB57" s="377"/>
      <c r="GC57" s="377"/>
      <c r="GD57" s="377"/>
      <c r="GE57" s="377"/>
      <c r="GF57" s="377"/>
      <c r="GG57" s="377"/>
      <c r="GH57" s="377"/>
      <c r="GI57" s="377"/>
      <c r="GJ57" s="377"/>
      <c r="GK57" s="377"/>
      <c r="GL57" s="377"/>
      <c r="GM57" s="377"/>
      <c r="GN57" s="377"/>
      <c r="GO57" s="377"/>
      <c r="GP57" s="377"/>
      <c r="GQ57" s="377"/>
      <c r="GR57" s="377"/>
      <c r="GS57" s="377"/>
    </row>
    <row r="58" spans="1:201">
      <c r="A58" s="806">
        <f>'PLANILHA ORÇAMENTARIA'!A135</f>
        <v>16</v>
      </c>
      <c r="B58" s="809" t="str">
        <f>'PLANILHA ORÇAMENTARIA'!B135</f>
        <v>ESQUADRIAS</v>
      </c>
      <c r="C58" s="812"/>
      <c r="D58" s="815">
        <f>'PLANILHA ORÇAMENTARIA'!F135</f>
        <v>174093.87</v>
      </c>
      <c r="E58" s="818">
        <f>D58/$D$82</f>
        <v>5.0845172379135314E-2</v>
      </c>
      <c r="F58" s="820">
        <f>$D$58*F60</f>
        <v>0</v>
      </c>
      <c r="G58" s="821"/>
      <c r="H58" s="821"/>
      <c r="I58" s="821"/>
      <c r="J58" s="821"/>
      <c r="K58" s="822"/>
      <c r="L58" s="821">
        <f>$D$58*L60</f>
        <v>0</v>
      </c>
      <c r="M58" s="821"/>
      <c r="N58" s="821"/>
      <c r="O58" s="821"/>
      <c r="P58" s="821"/>
      <c r="Q58" s="821"/>
      <c r="R58" s="820">
        <f>$D$58*R60</f>
        <v>17409.386999999999</v>
      </c>
      <c r="S58" s="821"/>
      <c r="T58" s="821"/>
      <c r="U58" s="821"/>
      <c r="V58" s="821"/>
      <c r="W58" s="822"/>
      <c r="X58" s="821">
        <f>$D$58*X60</f>
        <v>104456.322</v>
      </c>
      <c r="Y58" s="821"/>
      <c r="Z58" s="821"/>
      <c r="AA58" s="821"/>
      <c r="AB58" s="821"/>
      <c r="AC58" s="821"/>
      <c r="AD58" s="820">
        <f>$D$58*AD60</f>
        <v>52228.161</v>
      </c>
      <c r="AE58" s="821"/>
      <c r="AF58" s="821"/>
      <c r="AG58" s="821"/>
      <c r="AH58" s="821"/>
      <c r="AI58" s="821"/>
      <c r="AJ58" s="821">
        <f>$D$58*AJ60</f>
        <v>0</v>
      </c>
      <c r="AK58" s="821"/>
      <c r="AL58" s="821"/>
      <c r="AM58" s="821"/>
      <c r="AN58" s="821"/>
      <c r="AO58" s="823"/>
      <c r="AP58" s="517"/>
      <c r="AQ58" s="377"/>
      <c r="AR58" s="377"/>
      <c r="AS58" s="377"/>
      <c r="AT58" s="377"/>
      <c r="AU58" s="377"/>
      <c r="AV58" s="377"/>
      <c r="AW58" s="377"/>
      <c r="AX58" s="377"/>
      <c r="AY58" s="377"/>
      <c r="AZ58" s="377"/>
      <c r="BA58" s="377"/>
      <c r="BB58" s="377"/>
      <c r="BC58" s="377"/>
      <c r="BD58" s="377"/>
      <c r="BE58" s="377"/>
      <c r="BF58" s="377"/>
      <c r="BG58" s="377"/>
      <c r="BH58" s="377"/>
      <c r="BI58" s="377"/>
      <c r="BJ58" s="377"/>
      <c r="BK58" s="377"/>
      <c r="BL58" s="377"/>
      <c r="BM58" s="377"/>
      <c r="BN58" s="377"/>
      <c r="BO58" s="377"/>
      <c r="BP58" s="377"/>
      <c r="BQ58" s="377"/>
      <c r="BR58" s="377"/>
      <c r="BS58" s="377"/>
      <c r="BT58" s="377"/>
      <c r="BU58" s="377"/>
      <c r="BV58" s="377"/>
      <c r="BW58" s="377"/>
      <c r="BX58" s="377"/>
      <c r="BY58" s="377"/>
      <c r="BZ58" s="377"/>
      <c r="CA58" s="377"/>
      <c r="CB58" s="377"/>
      <c r="CC58" s="377"/>
      <c r="CD58" s="377"/>
      <c r="CE58" s="377"/>
      <c r="CF58" s="377"/>
      <c r="CG58" s="377"/>
      <c r="CH58" s="377"/>
      <c r="CI58" s="377"/>
      <c r="CJ58" s="377"/>
      <c r="CK58" s="377"/>
      <c r="CL58" s="377"/>
      <c r="CM58" s="377"/>
      <c r="CN58" s="377"/>
      <c r="CO58" s="377"/>
      <c r="CP58" s="377"/>
      <c r="CQ58" s="377"/>
      <c r="CR58" s="377"/>
      <c r="CS58" s="377"/>
      <c r="CT58" s="377"/>
      <c r="CU58" s="377"/>
      <c r="CV58" s="377"/>
      <c r="CW58" s="377"/>
      <c r="CX58" s="377"/>
      <c r="CY58" s="377"/>
      <c r="CZ58" s="377"/>
      <c r="DA58" s="377"/>
      <c r="DB58" s="377"/>
      <c r="DC58" s="377"/>
      <c r="DD58" s="377"/>
      <c r="DE58" s="377"/>
      <c r="DF58" s="377"/>
      <c r="DG58" s="377"/>
      <c r="DH58" s="377"/>
      <c r="DI58" s="377"/>
      <c r="DJ58" s="377"/>
      <c r="DK58" s="377"/>
      <c r="DL58" s="377"/>
      <c r="DM58" s="377"/>
      <c r="DN58" s="377"/>
      <c r="DO58" s="377"/>
      <c r="DP58" s="377"/>
      <c r="DQ58" s="377"/>
      <c r="DR58" s="377"/>
      <c r="DS58" s="377"/>
      <c r="DT58" s="377"/>
      <c r="DU58" s="377"/>
      <c r="DV58" s="377"/>
      <c r="DW58" s="377"/>
      <c r="DX58" s="377"/>
      <c r="DY58" s="377"/>
      <c r="DZ58" s="377"/>
      <c r="EA58" s="377"/>
      <c r="EB58" s="377"/>
      <c r="EC58" s="377"/>
      <c r="ED58" s="377"/>
      <c r="EE58" s="377"/>
      <c r="EF58" s="377"/>
      <c r="EG58" s="377"/>
      <c r="EH58" s="377"/>
      <c r="EI58" s="377"/>
      <c r="EJ58" s="377"/>
      <c r="EK58" s="377"/>
      <c r="EL58" s="377"/>
      <c r="EM58" s="377"/>
      <c r="EN58" s="377"/>
      <c r="EO58" s="377"/>
      <c r="EP58" s="377"/>
      <c r="EQ58" s="377"/>
      <c r="ER58" s="377"/>
      <c r="ES58" s="377"/>
      <c r="ET58" s="377"/>
      <c r="EU58" s="377"/>
      <c r="EV58" s="377"/>
      <c r="EW58" s="377"/>
      <c r="EX58" s="377"/>
      <c r="EY58" s="377"/>
      <c r="EZ58" s="377"/>
      <c r="FA58" s="377"/>
      <c r="FB58" s="377"/>
      <c r="FC58" s="377"/>
      <c r="FD58" s="377"/>
      <c r="FE58" s="377"/>
      <c r="FF58" s="377"/>
      <c r="FG58" s="377"/>
      <c r="FH58" s="377"/>
      <c r="FI58" s="377"/>
      <c r="FJ58" s="377"/>
      <c r="FK58" s="377"/>
      <c r="FL58" s="377"/>
      <c r="FM58" s="377"/>
      <c r="FN58" s="377"/>
      <c r="FO58" s="377"/>
      <c r="FP58" s="377"/>
      <c r="FQ58" s="377"/>
      <c r="FR58" s="377"/>
      <c r="FS58" s="377"/>
      <c r="FT58" s="377"/>
      <c r="FU58" s="377"/>
      <c r="FV58" s="377"/>
      <c r="FW58" s="377"/>
      <c r="FX58" s="377"/>
      <c r="FY58" s="377"/>
      <c r="FZ58" s="377"/>
      <c r="GA58" s="377"/>
      <c r="GB58" s="377"/>
      <c r="GC58" s="377"/>
      <c r="GD58" s="377"/>
      <c r="GE58" s="377"/>
      <c r="GF58" s="377"/>
      <c r="GG58" s="377"/>
      <c r="GH58" s="377"/>
      <c r="GI58" s="377"/>
      <c r="GJ58" s="377"/>
      <c r="GK58" s="377"/>
      <c r="GL58" s="377"/>
      <c r="GM58" s="377"/>
      <c r="GN58" s="377"/>
      <c r="GO58" s="377"/>
      <c r="GP58" s="377"/>
      <c r="GQ58" s="377"/>
      <c r="GR58" s="377"/>
      <c r="GS58" s="377"/>
    </row>
    <row r="59" spans="1:201" ht="5.0999999999999996" customHeight="1">
      <c r="A59" s="807"/>
      <c r="B59" s="810"/>
      <c r="C59" s="813"/>
      <c r="D59" s="816"/>
      <c r="E59" s="818"/>
      <c r="F59" s="725"/>
      <c r="G59" s="726"/>
      <c r="H59" s="726"/>
      <c r="I59" s="726"/>
      <c r="J59" s="726"/>
      <c r="K59" s="726"/>
      <c r="L59" s="727"/>
      <c r="M59" s="726"/>
      <c r="N59" s="726"/>
      <c r="O59" s="726"/>
      <c r="P59" s="726"/>
      <c r="Q59" s="728"/>
      <c r="R59" s="725">
        <v>1</v>
      </c>
      <c r="S59" s="726">
        <v>1</v>
      </c>
      <c r="T59" s="726">
        <v>1</v>
      </c>
      <c r="U59" s="726">
        <v>1</v>
      </c>
      <c r="V59" s="726">
        <v>1</v>
      </c>
      <c r="W59" s="726">
        <v>1</v>
      </c>
      <c r="X59" s="727">
        <v>1</v>
      </c>
      <c r="Y59" s="726">
        <v>1</v>
      </c>
      <c r="Z59" s="726">
        <v>1</v>
      </c>
      <c r="AA59" s="726">
        <v>1</v>
      </c>
      <c r="AB59" s="726">
        <v>1</v>
      </c>
      <c r="AC59" s="728">
        <v>1</v>
      </c>
      <c r="AD59" s="729">
        <v>1</v>
      </c>
      <c r="AE59" s="730">
        <v>1</v>
      </c>
      <c r="AF59" s="730">
        <v>1</v>
      </c>
      <c r="AG59" s="730">
        <v>1</v>
      </c>
      <c r="AH59" s="730">
        <v>1</v>
      </c>
      <c r="AI59" s="730">
        <v>1</v>
      </c>
      <c r="AJ59" s="731"/>
      <c r="AK59" s="730"/>
      <c r="AL59" s="730"/>
      <c r="AM59" s="730"/>
      <c r="AN59" s="730"/>
      <c r="AO59" s="732"/>
      <c r="AP59" s="517"/>
      <c r="AQ59" s="377"/>
      <c r="AR59" s="377"/>
      <c r="AS59" s="377"/>
      <c r="AT59" s="377"/>
      <c r="AU59" s="377"/>
      <c r="AV59" s="377"/>
      <c r="AW59" s="377"/>
      <c r="AX59" s="377"/>
      <c r="AY59" s="377"/>
      <c r="AZ59" s="377"/>
      <c r="BA59" s="377"/>
      <c r="BB59" s="377"/>
      <c r="BC59" s="377"/>
      <c r="BD59" s="377"/>
      <c r="BE59" s="377"/>
      <c r="BF59" s="377"/>
      <c r="BG59" s="377"/>
      <c r="BH59" s="377"/>
      <c r="BI59" s="377"/>
      <c r="BJ59" s="377"/>
      <c r="BK59" s="377"/>
      <c r="BL59" s="377"/>
      <c r="BM59" s="377"/>
      <c r="BN59" s="377"/>
      <c r="BO59" s="377"/>
      <c r="BP59" s="377"/>
      <c r="BQ59" s="377"/>
      <c r="BR59" s="377"/>
      <c r="BS59" s="377"/>
      <c r="BT59" s="377"/>
      <c r="BU59" s="377"/>
      <c r="BV59" s="377"/>
      <c r="BW59" s="377"/>
      <c r="BX59" s="377"/>
      <c r="BY59" s="377"/>
      <c r="BZ59" s="377"/>
      <c r="CA59" s="377"/>
      <c r="CB59" s="377"/>
      <c r="CC59" s="377"/>
      <c r="CD59" s="377"/>
      <c r="CE59" s="377"/>
      <c r="CF59" s="377"/>
      <c r="CG59" s="377"/>
      <c r="CH59" s="377"/>
      <c r="CI59" s="377"/>
      <c r="CJ59" s="377"/>
      <c r="CK59" s="377"/>
      <c r="CL59" s="377"/>
      <c r="CM59" s="377"/>
      <c r="CN59" s="377"/>
      <c r="CO59" s="377"/>
      <c r="CP59" s="377"/>
      <c r="CQ59" s="377"/>
      <c r="CR59" s="377"/>
      <c r="CS59" s="377"/>
      <c r="CT59" s="377"/>
      <c r="CU59" s="377"/>
      <c r="CV59" s="377"/>
      <c r="CW59" s="377"/>
      <c r="CX59" s="377"/>
      <c r="CY59" s="377"/>
      <c r="CZ59" s="377"/>
      <c r="DA59" s="377"/>
      <c r="DB59" s="377"/>
      <c r="DC59" s="377"/>
      <c r="DD59" s="377"/>
      <c r="DE59" s="377"/>
      <c r="DF59" s="377"/>
      <c r="DG59" s="377"/>
      <c r="DH59" s="377"/>
      <c r="DI59" s="377"/>
      <c r="DJ59" s="377"/>
      <c r="DK59" s="377"/>
      <c r="DL59" s="377"/>
      <c r="DM59" s="377"/>
      <c r="DN59" s="377"/>
      <c r="DO59" s="377"/>
      <c r="DP59" s="377"/>
      <c r="DQ59" s="377"/>
      <c r="DR59" s="377"/>
      <c r="DS59" s="377"/>
      <c r="DT59" s="377"/>
      <c r="DU59" s="377"/>
      <c r="DV59" s="377"/>
      <c r="DW59" s="377"/>
      <c r="DX59" s="377"/>
      <c r="DY59" s="377"/>
      <c r="DZ59" s="377"/>
      <c r="EA59" s="377"/>
      <c r="EB59" s="377"/>
      <c r="EC59" s="377"/>
      <c r="ED59" s="377"/>
      <c r="EE59" s="377"/>
      <c r="EF59" s="377"/>
      <c r="EG59" s="377"/>
      <c r="EH59" s="377"/>
      <c r="EI59" s="377"/>
      <c r="EJ59" s="377"/>
      <c r="EK59" s="377"/>
      <c r="EL59" s="377"/>
      <c r="EM59" s="377"/>
      <c r="EN59" s="377"/>
      <c r="EO59" s="377"/>
      <c r="EP59" s="377"/>
      <c r="EQ59" s="377"/>
      <c r="ER59" s="377"/>
      <c r="ES59" s="377"/>
      <c r="ET59" s="377"/>
      <c r="EU59" s="377"/>
      <c r="EV59" s="377"/>
      <c r="EW59" s="377"/>
      <c r="EX59" s="377"/>
      <c r="EY59" s="377"/>
      <c r="EZ59" s="377"/>
      <c r="FA59" s="377"/>
      <c r="FB59" s="377"/>
      <c r="FC59" s="377"/>
      <c r="FD59" s="377"/>
      <c r="FE59" s="377"/>
      <c r="FF59" s="377"/>
      <c r="FG59" s="377"/>
      <c r="FH59" s="377"/>
      <c r="FI59" s="377"/>
      <c r="FJ59" s="377"/>
      <c r="FK59" s="377"/>
      <c r="FL59" s="377"/>
      <c r="FM59" s="377"/>
      <c r="FN59" s="377"/>
      <c r="FO59" s="377"/>
      <c r="FP59" s="377"/>
      <c r="FQ59" s="377"/>
      <c r="FR59" s="377"/>
      <c r="FS59" s="377"/>
      <c r="FT59" s="377"/>
      <c r="FU59" s="377"/>
      <c r="FV59" s="377"/>
      <c r="FW59" s="377"/>
      <c r="FX59" s="377"/>
      <c r="FY59" s="377"/>
      <c r="FZ59" s="377"/>
      <c r="GA59" s="377"/>
      <c r="GB59" s="377"/>
      <c r="GC59" s="377"/>
      <c r="GD59" s="377"/>
      <c r="GE59" s="377"/>
      <c r="GF59" s="377"/>
      <c r="GG59" s="377"/>
      <c r="GH59" s="377"/>
      <c r="GI59" s="377"/>
      <c r="GJ59" s="377"/>
      <c r="GK59" s="377"/>
      <c r="GL59" s="377"/>
      <c r="GM59" s="377"/>
      <c r="GN59" s="377"/>
      <c r="GO59" s="377"/>
      <c r="GP59" s="377"/>
      <c r="GQ59" s="377"/>
      <c r="GR59" s="377"/>
      <c r="GS59" s="377"/>
    </row>
    <row r="60" spans="1:201">
      <c r="A60" s="808"/>
      <c r="B60" s="811"/>
      <c r="C60" s="814"/>
      <c r="D60" s="817"/>
      <c r="E60" s="819"/>
      <c r="F60" s="824"/>
      <c r="G60" s="825"/>
      <c r="H60" s="825"/>
      <c r="I60" s="825"/>
      <c r="J60" s="825"/>
      <c r="K60" s="826"/>
      <c r="L60" s="825"/>
      <c r="M60" s="825"/>
      <c r="N60" s="825"/>
      <c r="O60" s="825"/>
      <c r="P60" s="825"/>
      <c r="Q60" s="825"/>
      <c r="R60" s="824">
        <v>0.1</v>
      </c>
      <c r="S60" s="825"/>
      <c r="T60" s="825"/>
      <c r="U60" s="825"/>
      <c r="V60" s="825"/>
      <c r="W60" s="826"/>
      <c r="X60" s="825">
        <v>0.6</v>
      </c>
      <c r="Y60" s="825"/>
      <c r="Z60" s="825"/>
      <c r="AA60" s="825"/>
      <c r="AB60" s="825"/>
      <c r="AC60" s="825"/>
      <c r="AD60" s="824">
        <v>0.3</v>
      </c>
      <c r="AE60" s="825"/>
      <c r="AF60" s="825"/>
      <c r="AG60" s="825"/>
      <c r="AH60" s="825"/>
      <c r="AI60" s="825"/>
      <c r="AJ60" s="825"/>
      <c r="AK60" s="825"/>
      <c r="AL60" s="825"/>
      <c r="AM60" s="825"/>
      <c r="AN60" s="825"/>
      <c r="AO60" s="827"/>
      <c r="AP60" s="517"/>
      <c r="AQ60" s="377"/>
      <c r="AR60" s="377"/>
      <c r="AS60" s="377"/>
      <c r="AT60" s="377"/>
      <c r="AU60" s="377"/>
      <c r="AV60" s="377"/>
      <c r="AW60" s="377"/>
      <c r="AX60" s="377"/>
      <c r="AY60" s="377"/>
      <c r="AZ60" s="377"/>
      <c r="BA60" s="377"/>
      <c r="BB60" s="377"/>
      <c r="BC60" s="377"/>
      <c r="BD60" s="377"/>
      <c r="BE60" s="377"/>
      <c r="BF60" s="377"/>
      <c r="BG60" s="377"/>
      <c r="BH60" s="377"/>
      <c r="BI60" s="377"/>
      <c r="BJ60" s="377"/>
      <c r="BK60" s="377"/>
      <c r="BL60" s="377"/>
      <c r="BM60" s="377"/>
      <c r="BN60" s="377"/>
      <c r="BO60" s="377"/>
      <c r="BP60" s="377"/>
      <c r="BQ60" s="377"/>
      <c r="BR60" s="377"/>
      <c r="BS60" s="377"/>
      <c r="BT60" s="377"/>
      <c r="BU60" s="377"/>
      <c r="BV60" s="377"/>
      <c r="BW60" s="377"/>
      <c r="BX60" s="377"/>
      <c r="BY60" s="377"/>
      <c r="BZ60" s="377"/>
      <c r="CA60" s="377"/>
      <c r="CB60" s="377"/>
      <c r="CC60" s="377"/>
      <c r="CD60" s="377"/>
      <c r="CE60" s="377"/>
      <c r="CF60" s="377"/>
      <c r="CG60" s="377"/>
      <c r="CH60" s="377"/>
      <c r="CI60" s="377"/>
      <c r="CJ60" s="377"/>
      <c r="CK60" s="377"/>
      <c r="CL60" s="377"/>
      <c r="CM60" s="377"/>
      <c r="CN60" s="377"/>
      <c r="CO60" s="377"/>
      <c r="CP60" s="377"/>
      <c r="CQ60" s="377"/>
      <c r="CR60" s="377"/>
      <c r="CS60" s="377"/>
      <c r="CT60" s="377"/>
      <c r="CU60" s="377"/>
      <c r="CV60" s="377"/>
      <c r="CW60" s="377"/>
      <c r="CX60" s="377"/>
      <c r="CY60" s="377"/>
      <c r="CZ60" s="377"/>
      <c r="DA60" s="377"/>
      <c r="DB60" s="377"/>
      <c r="DC60" s="377"/>
      <c r="DD60" s="377"/>
      <c r="DE60" s="377"/>
      <c r="DF60" s="377"/>
      <c r="DG60" s="377"/>
      <c r="DH60" s="377"/>
      <c r="DI60" s="377"/>
      <c r="DJ60" s="377"/>
      <c r="DK60" s="377"/>
      <c r="DL60" s="377"/>
      <c r="DM60" s="377"/>
      <c r="DN60" s="377"/>
      <c r="DO60" s="377"/>
      <c r="DP60" s="377"/>
      <c r="DQ60" s="377"/>
      <c r="DR60" s="377"/>
      <c r="DS60" s="377"/>
      <c r="DT60" s="377"/>
      <c r="DU60" s="377"/>
      <c r="DV60" s="377"/>
      <c r="DW60" s="377"/>
      <c r="DX60" s="377"/>
      <c r="DY60" s="377"/>
      <c r="DZ60" s="377"/>
      <c r="EA60" s="377"/>
      <c r="EB60" s="377"/>
      <c r="EC60" s="377"/>
      <c r="ED60" s="377"/>
      <c r="EE60" s="377"/>
      <c r="EF60" s="377"/>
      <c r="EG60" s="377"/>
      <c r="EH60" s="377"/>
      <c r="EI60" s="377"/>
      <c r="EJ60" s="377"/>
      <c r="EK60" s="377"/>
      <c r="EL60" s="377"/>
      <c r="EM60" s="377"/>
      <c r="EN60" s="377"/>
      <c r="EO60" s="377"/>
      <c r="EP60" s="377"/>
      <c r="EQ60" s="377"/>
      <c r="ER60" s="377"/>
      <c r="ES60" s="377"/>
      <c r="ET60" s="377"/>
      <c r="EU60" s="377"/>
      <c r="EV60" s="377"/>
      <c r="EW60" s="377"/>
      <c r="EX60" s="377"/>
      <c r="EY60" s="377"/>
      <c r="EZ60" s="377"/>
      <c r="FA60" s="377"/>
      <c r="FB60" s="377"/>
      <c r="FC60" s="377"/>
      <c r="FD60" s="377"/>
      <c r="FE60" s="377"/>
      <c r="FF60" s="377"/>
      <c r="FG60" s="377"/>
      <c r="FH60" s="377"/>
      <c r="FI60" s="377"/>
      <c r="FJ60" s="377"/>
      <c r="FK60" s="377"/>
      <c r="FL60" s="377"/>
      <c r="FM60" s="377"/>
      <c r="FN60" s="377"/>
      <c r="FO60" s="377"/>
      <c r="FP60" s="377"/>
      <c r="FQ60" s="377"/>
      <c r="FR60" s="377"/>
      <c r="FS60" s="377"/>
      <c r="FT60" s="377"/>
      <c r="FU60" s="377"/>
      <c r="FV60" s="377"/>
      <c r="FW60" s="377"/>
      <c r="FX60" s="377"/>
      <c r="FY60" s="377"/>
      <c r="FZ60" s="377"/>
      <c r="GA60" s="377"/>
      <c r="GB60" s="377"/>
      <c r="GC60" s="377"/>
      <c r="GD60" s="377"/>
      <c r="GE60" s="377"/>
      <c r="GF60" s="377"/>
      <c r="GG60" s="377"/>
      <c r="GH60" s="377"/>
      <c r="GI60" s="377"/>
      <c r="GJ60" s="377"/>
      <c r="GK60" s="377"/>
      <c r="GL60" s="377"/>
      <c r="GM60" s="377"/>
      <c r="GN60" s="377"/>
      <c r="GO60" s="377"/>
      <c r="GP60" s="377"/>
      <c r="GQ60" s="377"/>
      <c r="GR60" s="377"/>
      <c r="GS60" s="377"/>
    </row>
    <row r="61" spans="1:201">
      <c r="A61" s="872">
        <f>'PLANILHA ORÇAMENTARIA'!A147</f>
        <v>17</v>
      </c>
      <c r="B61" s="905" t="str">
        <f>'PLANILHA ORÇAMENTARIA'!B147</f>
        <v>VIDROS</v>
      </c>
      <c r="C61" s="899"/>
      <c r="D61" s="880">
        <f>'PLANILHA ORÇAMENTARIA'!F147</f>
        <v>13427.29</v>
      </c>
      <c r="E61" s="883">
        <f>D61/$D$82</f>
        <v>3.9215216172438462E-3</v>
      </c>
      <c r="F61" s="885">
        <f>$D$61*F63</f>
        <v>0</v>
      </c>
      <c r="G61" s="830"/>
      <c r="H61" s="830"/>
      <c r="I61" s="830"/>
      <c r="J61" s="830"/>
      <c r="K61" s="886"/>
      <c r="L61" s="830">
        <f>$D$61*L63</f>
        <v>0</v>
      </c>
      <c r="M61" s="830"/>
      <c r="N61" s="830"/>
      <c r="O61" s="830"/>
      <c r="P61" s="830"/>
      <c r="Q61" s="830"/>
      <c r="R61" s="885">
        <f>$D$61*R63</f>
        <v>0</v>
      </c>
      <c r="S61" s="830"/>
      <c r="T61" s="830"/>
      <c r="U61" s="830"/>
      <c r="V61" s="830"/>
      <c r="W61" s="886"/>
      <c r="X61" s="830">
        <f>$D$61*X63</f>
        <v>0</v>
      </c>
      <c r="Y61" s="830"/>
      <c r="Z61" s="830"/>
      <c r="AA61" s="830"/>
      <c r="AB61" s="830"/>
      <c r="AC61" s="830"/>
      <c r="AD61" s="885">
        <f>$D$61*AD63</f>
        <v>0</v>
      </c>
      <c r="AE61" s="830"/>
      <c r="AF61" s="830"/>
      <c r="AG61" s="830"/>
      <c r="AH61" s="830"/>
      <c r="AI61" s="830"/>
      <c r="AJ61" s="830">
        <f>$D$61*AJ63</f>
        <v>13427.29</v>
      </c>
      <c r="AK61" s="830"/>
      <c r="AL61" s="830"/>
      <c r="AM61" s="830"/>
      <c r="AN61" s="830"/>
      <c r="AO61" s="831"/>
      <c r="AP61" s="520"/>
      <c r="AQ61" s="377"/>
      <c r="AR61" s="377"/>
      <c r="AS61" s="377"/>
      <c r="AT61" s="378"/>
      <c r="AU61" s="378"/>
      <c r="AV61" s="378"/>
      <c r="AW61" s="378"/>
      <c r="AX61" s="378"/>
      <c r="AY61" s="378"/>
      <c r="AZ61" s="378"/>
      <c r="BA61" s="378"/>
      <c r="BB61" s="378"/>
      <c r="BC61" s="378"/>
      <c r="BD61" s="378"/>
      <c r="BE61" s="378"/>
      <c r="BF61" s="378"/>
      <c r="BG61" s="378"/>
      <c r="BH61" s="378"/>
      <c r="BI61" s="378"/>
      <c r="BJ61" s="378"/>
      <c r="BK61" s="378"/>
      <c r="BL61" s="378"/>
      <c r="BM61" s="378"/>
      <c r="BN61" s="378"/>
      <c r="BO61" s="378"/>
      <c r="BP61" s="378"/>
      <c r="BQ61" s="378"/>
      <c r="BR61" s="378"/>
      <c r="BS61" s="378"/>
      <c r="BT61" s="378"/>
      <c r="BU61" s="378"/>
      <c r="BV61" s="378"/>
      <c r="BW61" s="378"/>
      <c r="BX61" s="378"/>
      <c r="BY61" s="378"/>
      <c r="BZ61" s="378"/>
      <c r="CA61" s="378"/>
      <c r="CB61" s="378"/>
      <c r="CC61" s="378"/>
      <c r="CD61" s="378"/>
      <c r="CE61" s="378"/>
      <c r="CF61" s="378"/>
      <c r="CG61" s="378"/>
      <c r="CH61" s="378"/>
      <c r="CI61" s="378"/>
      <c r="CJ61" s="378"/>
      <c r="CK61" s="378"/>
      <c r="CL61" s="378"/>
      <c r="CM61" s="378"/>
      <c r="CN61" s="378"/>
      <c r="CO61" s="378"/>
      <c r="CP61" s="378"/>
      <c r="CQ61" s="378"/>
      <c r="CR61" s="378"/>
      <c r="CS61" s="378"/>
      <c r="CT61" s="378"/>
      <c r="CU61" s="378"/>
      <c r="CV61" s="378"/>
      <c r="CW61" s="378"/>
      <c r="CX61" s="378"/>
      <c r="CY61" s="378"/>
      <c r="CZ61" s="378"/>
      <c r="DA61" s="378"/>
      <c r="DB61" s="378"/>
      <c r="DC61" s="378"/>
      <c r="DD61" s="378"/>
      <c r="DE61" s="378"/>
      <c r="DF61" s="378"/>
      <c r="DG61" s="378"/>
      <c r="DH61" s="378"/>
      <c r="DI61" s="378"/>
      <c r="DJ61" s="378"/>
      <c r="DK61" s="378"/>
      <c r="DL61" s="378"/>
      <c r="DM61" s="378"/>
      <c r="DN61" s="378"/>
      <c r="DO61" s="378"/>
      <c r="DP61" s="378"/>
      <c r="DQ61" s="378"/>
      <c r="DR61" s="378"/>
      <c r="DS61" s="378"/>
      <c r="DT61" s="378"/>
      <c r="DU61" s="378"/>
      <c r="DV61" s="378"/>
      <c r="DW61" s="378"/>
      <c r="DX61" s="378"/>
      <c r="DY61" s="378"/>
      <c r="DZ61" s="378"/>
      <c r="EA61" s="378"/>
      <c r="EB61" s="378"/>
      <c r="EC61" s="378"/>
      <c r="ED61" s="378"/>
      <c r="EE61" s="378"/>
      <c r="EF61" s="378"/>
      <c r="EG61" s="378"/>
      <c r="EH61" s="378"/>
      <c r="EI61" s="378"/>
      <c r="EJ61" s="378"/>
      <c r="EK61" s="378"/>
      <c r="EL61" s="378"/>
      <c r="EM61" s="378"/>
      <c r="EN61" s="378"/>
      <c r="EO61" s="378"/>
      <c r="EP61" s="378"/>
      <c r="EQ61" s="378"/>
      <c r="ER61" s="378"/>
      <c r="ES61" s="378"/>
      <c r="ET61" s="378"/>
      <c r="EU61" s="378"/>
      <c r="EV61" s="378"/>
      <c r="EW61" s="378"/>
      <c r="EX61" s="378"/>
      <c r="EY61" s="378"/>
      <c r="EZ61" s="378"/>
      <c r="FA61" s="378"/>
      <c r="FB61" s="378"/>
      <c r="FC61" s="378"/>
      <c r="FD61" s="378"/>
      <c r="FE61" s="378"/>
      <c r="FF61" s="378"/>
      <c r="FG61" s="378"/>
      <c r="FH61" s="378"/>
      <c r="FI61" s="378"/>
      <c r="FJ61" s="378"/>
      <c r="FK61" s="378"/>
      <c r="FL61" s="378"/>
      <c r="FM61" s="378"/>
      <c r="FN61" s="378"/>
      <c r="FO61" s="378"/>
      <c r="FP61" s="378"/>
      <c r="FQ61" s="378"/>
      <c r="FR61" s="378"/>
      <c r="FS61" s="378"/>
      <c r="FT61" s="378"/>
      <c r="FU61" s="378"/>
      <c r="FV61" s="378"/>
      <c r="FW61" s="378"/>
      <c r="FX61" s="378"/>
      <c r="FY61" s="378"/>
      <c r="FZ61" s="378"/>
      <c r="GA61" s="378"/>
      <c r="GB61" s="378"/>
      <c r="GC61" s="378"/>
      <c r="GD61" s="378"/>
      <c r="GE61" s="378"/>
      <c r="GF61" s="378"/>
      <c r="GG61" s="378"/>
      <c r="GH61" s="378"/>
      <c r="GI61" s="378"/>
      <c r="GJ61" s="378"/>
      <c r="GK61" s="378"/>
      <c r="GL61" s="378"/>
      <c r="GM61" s="378"/>
      <c r="GN61" s="378"/>
      <c r="GO61" s="378"/>
      <c r="GP61" s="378"/>
      <c r="GQ61" s="378"/>
      <c r="GR61" s="378"/>
      <c r="GS61" s="378"/>
    </row>
    <row r="62" spans="1:201" ht="5.0999999999999996" customHeight="1">
      <c r="A62" s="872"/>
      <c r="B62" s="905"/>
      <c r="C62" s="899"/>
      <c r="D62" s="880"/>
      <c r="E62" s="883"/>
      <c r="F62" s="718"/>
      <c r="G62" s="719"/>
      <c r="H62" s="719"/>
      <c r="I62" s="719"/>
      <c r="J62" s="719"/>
      <c r="K62" s="719"/>
      <c r="L62" s="720"/>
      <c r="M62" s="719"/>
      <c r="N62" s="719"/>
      <c r="O62" s="719"/>
      <c r="P62" s="719"/>
      <c r="Q62" s="721"/>
      <c r="R62" s="718"/>
      <c r="S62" s="719"/>
      <c r="T62" s="719"/>
      <c r="U62" s="719"/>
      <c r="V62" s="719"/>
      <c r="W62" s="719"/>
      <c r="X62" s="720"/>
      <c r="Y62" s="719"/>
      <c r="Z62" s="719"/>
      <c r="AA62" s="719"/>
      <c r="AB62" s="719"/>
      <c r="AC62" s="721"/>
      <c r="AD62" s="733"/>
      <c r="AE62" s="723"/>
      <c r="AF62" s="723"/>
      <c r="AG62" s="723"/>
      <c r="AH62" s="723"/>
      <c r="AI62" s="723"/>
      <c r="AJ62" s="722">
        <v>1</v>
      </c>
      <c r="AK62" s="723">
        <v>1</v>
      </c>
      <c r="AL62" s="723">
        <v>1</v>
      </c>
      <c r="AM62" s="723">
        <v>1</v>
      </c>
      <c r="AN62" s="723">
        <v>1</v>
      </c>
      <c r="AO62" s="724">
        <v>1</v>
      </c>
      <c r="AP62" s="517"/>
      <c r="AQ62" s="377"/>
      <c r="AR62" s="377"/>
      <c r="AS62" s="377"/>
      <c r="AT62" s="378"/>
      <c r="AU62" s="378"/>
      <c r="AV62" s="378"/>
      <c r="AW62" s="378"/>
      <c r="AX62" s="378"/>
      <c r="AY62" s="378"/>
      <c r="AZ62" s="378"/>
      <c r="BA62" s="378"/>
      <c r="BB62" s="378"/>
      <c r="BC62" s="378"/>
      <c r="BD62" s="378"/>
      <c r="BE62" s="378"/>
      <c r="BF62" s="378"/>
      <c r="BG62" s="378"/>
      <c r="BH62" s="378"/>
      <c r="BI62" s="378"/>
      <c r="BJ62" s="378"/>
      <c r="BK62" s="378"/>
      <c r="BL62" s="378"/>
      <c r="BM62" s="378"/>
      <c r="BN62" s="378"/>
      <c r="BO62" s="378"/>
      <c r="BP62" s="378"/>
      <c r="BQ62" s="378"/>
      <c r="BR62" s="378"/>
      <c r="BS62" s="378"/>
      <c r="BT62" s="378"/>
      <c r="BU62" s="378"/>
      <c r="BV62" s="378"/>
      <c r="BW62" s="378"/>
      <c r="BX62" s="378"/>
      <c r="BY62" s="378"/>
      <c r="BZ62" s="378"/>
      <c r="CA62" s="378"/>
      <c r="CB62" s="378"/>
      <c r="CC62" s="378"/>
      <c r="CD62" s="378"/>
      <c r="CE62" s="378"/>
      <c r="CF62" s="378"/>
      <c r="CG62" s="378"/>
      <c r="CH62" s="378"/>
      <c r="CI62" s="378"/>
      <c r="CJ62" s="378"/>
      <c r="CK62" s="378"/>
      <c r="CL62" s="378"/>
      <c r="CM62" s="378"/>
      <c r="CN62" s="378"/>
      <c r="CO62" s="378"/>
      <c r="CP62" s="378"/>
      <c r="CQ62" s="378"/>
      <c r="CR62" s="378"/>
      <c r="CS62" s="378"/>
      <c r="CT62" s="378"/>
      <c r="CU62" s="378"/>
      <c r="CV62" s="378"/>
      <c r="CW62" s="378"/>
      <c r="CX62" s="378"/>
      <c r="CY62" s="378"/>
      <c r="CZ62" s="378"/>
      <c r="DA62" s="378"/>
      <c r="DB62" s="378"/>
      <c r="DC62" s="378"/>
      <c r="DD62" s="378"/>
      <c r="DE62" s="378"/>
      <c r="DF62" s="378"/>
      <c r="DG62" s="378"/>
      <c r="DH62" s="378"/>
      <c r="DI62" s="378"/>
      <c r="DJ62" s="378"/>
      <c r="DK62" s="378"/>
      <c r="DL62" s="378"/>
      <c r="DM62" s="378"/>
      <c r="DN62" s="378"/>
      <c r="DO62" s="378"/>
      <c r="DP62" s="378"/>
      <c r="DQ62" s="378"/>
      <c r="DR62" s="378"/>
      <c r="DS62" s="378"/>
      <c r="DT62" s="378"/>
      <c r="DU62" s="378"/>
      <c r="DV62" s="378"/>
      <c r="DW62" s="378"/>
      <c r="DX62" s="378"/>
      <c r="DY62" s="378"/>
      <c r="DZ62" s="378"/>
      <c r="EA62" s="378"/>
      <c r="EB62" s="378"/>
      <c r="EC62" s="378"/>
      <c r="ED62" s="378"/>
      <c r="EE62" s="378"/>
      <c r="EF62" s="378"/>
      <c r="EG62" s="378"/>
      <c r="EH62" s="378"/>
      <c r="EI62" s="378"/>
      <c r="EJ62" s="378"/>
      <c r="EK62" s="378"/>
      <c r="EL62" s="378"/>
      <c r="EM62" s="378"/>
      <c r="EN62" s="378"/>
      <c r="EO62" s="378"/>
      <c r="EP62" s="378"/>
      <c r="EQ62" s="378"/>
      <c r="ER62" s="378"/>
      <c r="ES62" s="378"/>
      <c r="ET62" s="378"/>
      <c r="EU62" s="378"/>
      <c r="EV62" s="378"/>
      <c r="EW62" s="378"/>
      <c r="EX62" s="378"/>
      <c r="EY62" s="378"/>
      <c r="EZ62" s="378"/>
      <c r="FA62" s="378"/>
      <c r="FB62" s="378"/>
      <c r="FC62" s="378"/>
      <c r="FD62" s="378"/>
      <c r="FE62" s="378"/>
      <c r="FF62" s="378"/>
      <c r="FG62" s="378"/>
      <c r="FH62" s="378"/>
      <c r="FI62" s="378"/>
      <c r="FJ62" s="378"/>
      <c r="FK62" s="378"/>
      <c r="FL62" s="378"/>
      <c r="FM62" s="378"/>
      <c r="FN62" s="378"/>
      <c r="FO62" s="378"/>
      <c r="FP62" s="378"/>
      <c r="FQ62" s="378"/>
      <c r="FR62" s="378"/>
      <c r="FS62" s="378"/>
      <c r="FT62" s="378"/>
      <c r="FU62" s="378"/>
      <c r="FV62" s="378"/>
      <c r="FW62" s="378"/>
      <c r="FX62" s="378"/>
      <c r="FY62" s="378"/>
      <c r="FZ62" s="378"/>
      <c r="GA62" s="378"/>
      <c r="GB62" s="378"/>
      <c r="GC62" s="378"/>
      <c r="GD62" s="378"/>
      <c r="GE62" s="378"/>
      <c r="GF62" s="378"/>
      <c r="GG62" s="378"/>
      <c r="GH62" s="378"/>
      <c r="GI62" s="378"/>
      <c r="GJ62" s="378"/>
      <c r="GK62" s="378"/>
      <c r="GL62" s="378"/>
      <c r="GM62" s="378"/>
      <c r="GN62" s="378"/>
      <c r="GO62" s="378"/>
      <c r="GP62" s="378"/>
      <c r="GQ62" s="378"/>
      <c r="GR62" s="378"/>
      <c r="GS62" s="378"/>
    </row>
    <row r="63" spans="1:201">
      <c r="A63" s="913"/>
      <c r="B63" s="914"/>
      <c r="C63" s="915"/>
      <c r="D63" s="901"/>
      <c r="E63" s="884"/>
      <c r="F63" s="869"/>
      <c r="G63" s="828"/>
      <c r="H63" s="828"/>
      <c r="I63" s="828"/>
      <c r="J63" s="828"/>
      <c r="K63" s="870"/>
      <c r="L63" s="828"/>
      <c r="M63" s="828"/>
      <c r="N63" s="828"/>
      <c r="O63" s="828"/>
      <c r="P63" s="828"/>
      <c r="Q63" s="828"/>
      <c r="R63" s="869"/>
      <c r="S63" s="828"/>
      <c r="T63" s="828"/>
      <c r="U63" s="828"/>
      <c r="V63" s="828"/>
      <c r="W63" s="870"/>
      <c r="X63" s="828"/>
      <c r="Y63" s="828"/>
      <c r="Z63" s="828"/>
      <c r="AA63" s="828"/>
      <c r="AB63" s="828"/>
      <c r="AC63" s="828"/>
      <c r="AD63" s="869"/>
      <c r="AE63" s="828"/>
      <c r="AF63" s="828"/>
      <c r="AG63" s="828"/>
      <c r="AH63" s="828"/>
      <c r="AI63" s="828"/>
      <c r="AJ63" s="828">
        <v>1</v>
      </c>
      <c r="AK63" s="828"/>
      <c r="AL63" s="828"/>
      <c r="AM63" s="828"/>
      <c r="AN63" s="828"/>
      <c r="AO63" s="829"/>
      <c r="AP63" s="517"/>
      <c r="AQ63" s="378"/>
      <c r="AR63" s="378"/>
      <c r="AS63" s="378"/>
      <c r="AT63" s="378"/>
      <c r="AU63" s="378"/>
      <c r="AV63" s="378"/>
      <c r="AW63" s="378"/>
      <c r="AX63" s="378"/>
      <c r="AY63" s="378"/>
      <c r="AZ63" s="378"/>
      <c r="BA63" s="378"/>
      <c r="BB63" s="378"/>
      <c r="BC63" s="378"/>
      <c r="BD63" s="378"/>
      <c r="BE63" s="378"/>
      <c r="BF63" s="378"/>
      <c r="BG63" s="378"/>
      <c r="BH63" s="378"/>
      <c r="BI63" s="378"/>
      <c r="BJ63" s="378"/>
      <c r="BK63" s="378"/>
      <c r="BL63" s="378"/>
      <c r="BM63" s="378"/>
      <c r="BN63" s="378"/>
      <c r="BO63" s="378"/>
      <c r="BP63" s="378"/>
      <c r="BQ63" s="378"/>
      <c r="BR63" s="378"/>
      <c r="BS63" s="378"/>
      <c r="BT63" s="378"/>
      <c r="BU63" s="378"/>
      <c r="BV63" s="378"/>
      <c r="BW63" s="378"/>
      <c r="BX63" s="378"/>
      <c r="BY63" s="378"/>
      <c r="BZ63" s="378"/>
      <c r="CA63" s="378"/>
      <c r="CB63" s="378"/>
      <c r="CC63" s="378"/>
      <c r="CD63" s="378"/>
      <c r="CE63" s="378"/>
      <c r="CF63" s="378"/>
      <c r="CG63" s="378"/>
      <c r="CH63" s="378"/>
      <c r="CI63" s="378"/>
      <c r="CJ63" s="378"/>
      <c r="CK63" s="378"/>
      <c r="CL63" s="378"/>
      <c r="CM63" s="378"/>
      <c r="CN63" s="378"/>
      <c r="CO63" s="378"/>
      <c r="CP63" s="378"/>
      <c r="CQ63" s="378"/>
      <c r="CR63" s="378"/>
      <c r="CS63" s="378"/>
      <c r="CT63" s="378"/>
      <c r="CU63" s="378"/>
      <c r="CV63" s="378"/>
      <c r="CW63" s="378"/>
      <c r="CX63" s="378"/>
      <c r="CY63" s="378"/>
      <c r="CZ63" s="378"/>
      <c r="DA63" s="378"/>
      <c r="DB63" s="378"/>
      <c r="DC63" s="378"/>
      <c r="DD63" s="378"/>
      <c r="DE63" s="378"/>
      <c r="DF63" s="378"/>
      <c r="DG63" s="378"/>
      <c r="DH63" s="378"/>
      <c r="DI63" s="378"/>
      <c r="DJ63" s="378"/>
      <c r="DK63" s="378"/>
      <c r="DL63" s="378"/>
      <c r="DM63" s="378"/>
      <c r="DN63" s="378"/>
      <c r="DO63" s="378"/>
      <c r="DP63" s="378"/>
      <c r="DQ63" s="378"/>
      <c r="DR63" s="378"/>
      <c r="DS63" s="378"/>
      <c r="DT63" s="378"/>
      <c r="DU63" s="378"/>
      <c r="DV63" s="378"/>
      <c r="DW63" s="378"/>
      <c r="DX63" s="378"/>
      <c r="DY63" s="378"/>
      <c r="DZ63" s="378"/>
      <c r="EA63" s="378"/>
      <c r="EB63" s="378"/>
      <c r="EC63" s="378"/>
      <c r="ED63" s="378"/>
      <c r="EE63" s="378"/>
      <c r="EF63" s="378"/>
      <c r="EG63" s="378"/>
      <c r="EH63" s="378"/>
      <c r="EI63" s="378"/>
      <c r="EJ63" s="378"/>
      <c r="EK63" s="378"/>
      <c r="EL63" s="378"/>
      <c r="EM63" s="378"/>
      <c r="EN63" s="378"/>
      <c r="EO63" s="378"/>
      <c r="EP63" s="378"/>
      <c r="EQ63" s="378"/>
      <c r="ER63" s="378"/>
      <c r="ES63" s="378"/>
      <c r="ET63" s="378"/>
      <c r="EU63" s="378"/>
      <c r="EV63" s="378"/>
      <c r="EW63" s="378"/>
      <c r="EX63" s="378"/>
      <c r="EY63" s="378"/>
      <c r="EZ63" s="378"/>
      <c r="FA63" s="378"/>
      <c r="FB63" s="378"/>
      <c r="FC63" s="378"/>
      <c r="FD63" s="378"/>
      <c r="FE63" s="378"/>
      <c r="FF63" s="378"/>
      <c r="FG63" s="378"/>
      <c r="FH63" s="378"/>
      <c r="FI63" s="378"/>
      <c r="FJ63" s="378"/>
      <c r="FK63" s="378"/>
      <c r="FL63" s="378"/>
      <c r="FM63" s="378"/>
      <c r="FN63" s="378"/>
      <c r="FO63" s="378"/>
      <c r="FP63" s="378"/>
      <c r="FQ63" s="378"/>
      <c r="FR63" s="378"/>
      <c r="FS63" s="378"/>
      <c r="FT63" s="378"/>
      <c r="FU63" s="378"/>
      <c r="FV63" s="378"/>
      <c r="FW63" s="378"/>
      <c r="FX63" s="378"/>
      <c r="FY63" s="378"/>
      <c r="FZ63" s="378"/>
      <c r="GA63" s="378"/>
      <c r="GB63" s="378"/>
      <c r="GC63" s="378"/>
      <c r="GD63" s="378"/>
      <c r="GE63" s="378"/>
      <c r="GF63" s="378"/>
      <c r="GG63" s="378"/>
      <c r="GH63" s="378"/>
      <c r="GI63" s="378"/>
      <c r="GJ63" s="378"/>
      <c r="GK63" s="378"/>
      <c r="GL63" s="378"/>
      <c r="GM63" s="378"/>
      <c r="GN63" s="378"/>
      <c r="GO63" s="378"/>
      <c r="GP63" s="378"/>
      <c r="GQ63" s="378"/>
      <c r="GR63" s="378"/>
      <c r="GS63" s="378"/>
    </row>
    <row r="64" spans="1:201">
      <c r="A64" s="806">
        <f>'PLANILHA ORÇAMENTARIA'!A151</f>
        <v>18</v>
      </c>
      <c r="B64" s="809" t="str">
        <f>'PLANILHA ORÇAMENTARIA'!B151</f>
        <v>INSTALAÇÕES ELETRICAS/ CABEAMENTO ESTRUTURADO/ IMPLANTAÇÃO ELETRICA</v>
      </c>
      <c r="C64" s="812"/>
      <c r="D64" s="815">
        <f>'PLANILHA ORÇAMENTARIA'!F151</f>
        <v>167662.93555200001</v>
      </c>
      <c r="E64" s="818">
        <f>D64/$D$82</f>
        <v>4.8966978904732804E-2</v>
      </c>
      <c r="F64" s="820">
        <f>$D$64*F66</f>
        <v>8383.1467776000009</v>
      </c>
      <c r="G64" s="821"/>
      <c r="H64" s="821"/>
      <c r="I64" s="821"/>
      <c r="J64" s="821"/>
      <c r="K64" s="822"/>
      <c r="L64" s="821">
        <f>$D$64*L66</f>
        <v>8383.1467776000009</v>
      </c>
      <c r="M64" s="821"/>
      <c r="N64" s="821"/>
      <c r="O64" s="821"/>
      <c r="P64" s="821"/>
      <c r="Q64" s="821"/>
      <c r="R64" s="820">
        <f>$D$64*R66</f>
        <v>16766.293555200002</v>
      </c>
      <c r="S64" s="821"/>
      <c r="T64" s="821"/>
      <c r="U64" s="821"/>
      <c r="V64" s="821"/>
      <c r="W64" s="822"/>
      <c r="X64" s="821">
        <f>$D$64*X66</f>
        <v>16766.293555200002</v>
      </c>
      <c r="Y64" s="821"/>
      <c r="Z64" s="821"/>
      <c r="AA64" s="821"/>
      <c r="AB64" s="821"/>
      <c r="AC64" s="821"/>
      <c r="AD64" s="820">
        <f>$D$64*AD66</f>
        <v>50298.880665600002</v>
      </c>
      <c r="AE64" s="821"/>
      <c r="AF64" s="821"/>
      <c r="AG64" s="821"/>
      <c r="AH64" s="821"/>
      <c r="AI64" s="821"/>
      <c r="AJ64" s="821">
        <f>$D$64*AJ66</f>
        <v>67065.174220800007</v>
      </c>
      <c r="AK64" s="821"/>
      <c r="AL64" s="821"/>
      <c r="AM64" s="821"/>
      <c r="AN64" s="821"/>
      <c r="AO64" s="823"/>
      <c r="AP64" s="520"/>
      <c r="AQ64" s="378"/>
      <c r="AR64" s="378"/>
      <c r="AS64" s="378"/>
      <c r="AT64" s="377"/>
      <c r="AU64" s="377"/>
      <c r="AV64" s="377"/>
      <c r="AW64" s="377"/>
      <c r="AX64" s="377"/>
      <c r="AY64" s="377"/>
      <c r="AZ64" s="377"/>
      <c r="BA64" s="377"/>
      <c r="BB64" s="377"/>
      <c r="BC64" s="377"/>
      <c r="BD64" s="377"/>
      <c r="BE64" s="377"/>
      <c r="BF64" s="377"/>
      <c r="BG64" s="377"/>
      <c r="BH64" s="377"/>
      <c r="BI64" s="377"/>
      <c r="BJ64" s="377"/>
      <c r="BK64" s="377"/>
      <c r="BL64" s="377"/>
      <c r="BM64" s="377"/>
      <c r="BN64" s="377"/>
      <c r="BO64" s="377"/>
      <c r="BP64" s="377"/>
      <c r="BQ64" s="377"/>
      <c r="BR64" s="377"/>
      <c r="BS64" s="377"/>
      <c r="BT64" s="377"/>
      <c r="BU64" s="377"/>
      <c r="BV64" s="377"/>
      <c r="BW64" s="377"/>
      <c r="BX64" s="377"/>
      <c r="BY64" s="377"/>
      <c r="BZ64" s="377"/>
      <c r="CA64" s="377"/>
      <c r="CB64" s="377"/>
      <c r="CC64" s="377"/>
      <c r="CD64" s="377"/>
      <c r="CE64" s="377"/>
      <c r="CF64" s="377"/>
      <c r="CG64" s="377"/>
      <c r="CH64" s="377"/>
      <c r="CI64" s="377"/>
      <c r="CJ64" s="377"/>
      <c r="CK64" s="377"/>
      <c r="CL64" s="377"/>
      <c r="CM64" s="377"/>
      <c r="CN64" s="377"/>
      <c r="CO64" s="377"/>
      <c r="CP64" s="377"/>
      <c r="CQ64" s="377"/>
      <c r="CR64" s="377"/>
      <c r="CS64" s="377"/>
      <c r="CT64" s="377"/>
      <c r="CU64" s="377"/>
      <c r="CV64" s="377"/>
      <c r="CW64" s="377"/>
      <c r="CX64" s="377"/>
      <c r="CY64" s="377"/>
      <c r="CZ64" s="377"/>
      <c r="DA64" s="377"/>
      <c r="DB64" s="377"/>
      <c r="DC64" s="377"/>
      <c r="DD64" s="377"/>
      <c r="DE64" s="377"/>
      <c r="DF64" s="377"/>
      <c r="DG64" s="377"/>
      <c r="DH64" s="377"/>
      <c r="DI64" s="377"/>
      <c r="DJ64" s="377"/>
      <c r="DK64" s="377"/>
      <c r="DL64" s="377"/>
      <c r="DM64" s="377"/>
      <c r="DN64" s="377"/>
      <c r="DO64" s="377"/>
      <c r="DP64" s="377"/>
      <c r="DQ64" s="377"/>
      <c r="DR64" s="377"/>
      <c r="DS64" s="377"/>
      <c r="DT64" s="377"/>
      <c r="DU64" s="377"/>
      <c r="DV64" s="377"/>
      <c r="DW64" s="377"/>
      <c r="DX64" s="377"/>
      <c r="DY64" s="377"/>
      <c r="DZ64" s="377"/>
      <c r="EA64" s="377"/>
      <c r="EB64" s="377"/>
      <c r="EC64" s="377"/>
      <c r="ED64" s="377"/>
      <c r="EE64" s="377"/>
      <c r="EF64" s="377"/>
      <c r="EG64" s="377"/>
      <c r="EH64" s="377"/>
      <c r="EI64" s="377"/>
      <c r="EJ64" s="377"/>
      <c r="EK64" s="377"/>
      <c r="EL64" s="377"/>
      <c r="EM64" s="377"/>
      <c r="EN64" s="377"/>
      <c r="EO64" s="377"/>
      <c r="EP64" s="377"/>
      <c r="EQ64" s="377"/>
      <c r="ER64" s="377"/>
      <c r="ES64" s="377"/>
      <c r="ET64" s="377"/>
      <c r="EU64" s="377"/>
      <c r="EV64" s="377"/>
      <c r="EW64" s="377"/>
      <c r="EX64" s="377"/>
      <c r="EY64" s="377"/>
      <c r="EZ64" s="377"/>
      <c r="FA64" s="377"/>
      <c r="FB64" s="377"/>
      <c r="FC64" s="377"/>
      <c r="FD64" s="377"/>
      <c r="FE64" s="377"/>
      <c r="FF64" s="377"/>
      <c r="FG64" s="377"/>
      <c r="FH64" s="377"/>
      <c r="FI64" s="377"/>
      <c r="FJ64" s="377"/>
      <c r="FK64" s="377"/>
      <c r="FL64" s="377"/>
      <c r="FM64" s="377"/>
      <c r="FN64" s="377"/>
      <c r="FO64" s="377"/>
      <c r="FP64" s="377"/>
      <c r="FQ64" s="377"/>
      <c r="FR64" s="377"/>
      <c r="FS64" s="377"/>
      <c r="FT64" s="377"/>
      <c r="FU64" s="377"/>
      <c r="FV64" s="377"/>
      <c r="FW64" s="377"/>
      <c r="FX64" s="377"/>
      <c r="FY64" s="377"/>
      <c r="FZ64" s="377"/>
      <c r="GA64" s="377"/>
      <c r="GB64" s="377"/>
      <c r="GC64" s="377"/>
      <c r="GD64" s="377"/>
      <c r="GE64" s="377"/>
      <c r="GF64" s="377"/>
      <c r="GG64" s="377"/>
      <c r="GH64" s="377"/>
      <c r="GI64" s="377"/>
      <c r="GJ64" s="377"/>
      <c r="GK64" s="377"/>
      <c r="GL64" s="377"/>
      <c r="GM64" s="377"/>
      <c r="GN64" s="377"/>
      <c r="GO64" s="377"/>
      <c r="GP64" s="377"/>
      <c r="GQ64" s="377"/>
      <c r="GR64" s="377"/>
      <c r="GS64" s="377"/>
    </row>
    <row r="65" spans="1:201" ht="5.0999999999999996" customHeight="1">
      <c r="A65" s="807"/>
      <c r="B65" s="810"/>
      <c r="C65" s="813"/>
      <c r="D65" s="816"/>
      <c r="E65" s="818"/>
      <c r="F65" s="725">
        <v>1</v>
      </c>
      <c r="G65" s="726">
        <v>1</v>
      </c>
      <c r="H65" s="726">
        <v>1</v>
      </c>
      <c r="I65" s="726">
        <v>1</v>
      </c>
      <c r="J65" s="726">
        <v>1</v>
      </c>
      <c r="K65" s="726">
        <v>1</v>
      </c>
      <c r="L65" s="727">
        <v>1</v>
      </c>
      <c r="M65" s="726">
        <v>1</v>
      </c>
      <c r="N65" s="726">
        <v>1</v>
      </c>
      <c r="O65" s="726">
        <v>1</v>
      </c>
      <c r="P65" s="726">
        <v>1</v>
      </c>
      <c r="Q65" s="728">
        <v>1</v>
      </c>
      <c r="R65" s="725">
        <v>1</v>
      </c>
      <c r="S65" s="726">
        <v>1</v>
      </c>
      <c r="T65" s="726">
        <v>1</v>
      </c>
      <c r="U65" s="726">
        <v>1</v>
      </c>
      <c r="V65" s="726">
        <v>1</v>
      </c>
      <c r="W65" s="726">
        <v>1</v>
      </c>
      <c r="X65" s="727">
        <v>1</v>
      </c>
      <c r="Y65" s="726">
        <v>1</v>
      </c>
      <c r="Z65" s="726">
        <v>1</v>
      </c>
      <c r="AA65" s="726">
        <v>1</v>
      </c>
      <c r="AB65" s="726">
        <v>1</v>
      </c>
      <c r="AC65" s="728">
        <v>1</v>
      </c>
      <c r="AD65" s="729">
        <v>1</v>
      </c>
      <c r="AE65" s="730">
        <v>1</v>
      </c>
      <c r="AF65" s="730">
        <v>1</v>
      </c>
      <c r="AG65" s="730">
        <v>1</v>
      </c>
      <c r="AH65" s="730">
        <v>1</v>
      </c>
      <c r="AI65" s="730">
        <v>1</v>
      </c>
      <c r="AJ65" s="731">
        <v>1</v>
      </c>
      <c r="AK65" s="730">
        <v>1</v>
      </c>
      <c r="AL65" s="730">
        <v>1</v>
      </c>
      <c r="AM65" s="730">
        <v>1</v>
      </c>
      <c r="AN65" s="730">
        <v>1</v>
      </c>
      <c r="AO65" s="732">
        <v>1</v>
      </c>
      <c r="AP65" s="518"/>
      <c r="AQ65" s="378"/>
      <c r="AR65" s="378"/>
      <c r="AS65" s="378"/>
      <c r="AT65" s="377"/>
      <c r="AU65" s="377"/>
      <c r="AV65" s="377"/>
      <c r="AW65" s="377"/>
      <c r="AX65" s="377"/>
      <c r="AY65" s="377"/>
      <c r="AZ65" s="377"/>
      <c r="BA65" s="377"/>
      <c r="BB65" s="377"/>
      <c r="BC65" s="377"/>
      <c r="BD65" s="377"/>
      <c r="BE65" s="377"/>
      <c r="BF65" s="377"/>
      <c r="BG65" s="377"/>
      <c r="BH65" s="377"/>
      <c r="BI65" s="377"/>
      <c r="BJ65" s="377"/>
      <c r="BK65" s="377"/>
      <c r="BL65" s="377"/>
      <c r="BM65" s="377"/>
      <c r="BN65" s="377"/>
      <c r="BO65" s="377"/>
      <c r="BP65" s="377"/>
      <c r="BQ65" s="377"/>
      <c r="BR65" s="377"/>
      <c r="BS65" s="377"/>
      <c r="BT65" s="377"/>
      <c r="BU65" s="377"/>
      <c r="BV65" s="377"/>
      <c r="BW65" s="377"/>
      <c r="BX65" s="377"/>
      <c r="BY65" s="377"/>
      <c r="BZ65" s="377"/>
      <c r="CA65" s="377"/>
      <c r="CB65" s="377"/>
      <c r="CC65" s="377"/>
      <c r="CD65" s="377"/>
      <c r="CE65" s="377"/>
      <c r="CF65" s="377"/>
      <c r="CG65" s="377"/>
      <c r="CH65" s="377"/>
      <c r="CI65" s="377"/>
      <c r="CJ65" s="377"/>
      <c r="CK65" s="377"/>
      <c r="CL65" s="377"/>
      <c r="CM65" s="377"/>
      <c r="CN65" s="377"/>
      <c r="CO65" s="377"/>
      <c r="CP65" s="377"/>
      <c r="CQ65" s="377"/>
      <c r="CR65" s="377"/>
      <c r="CS65" s="377"/>
      <c r="CT65" s="377"/>
      <c r="CU65" s="377"/>
      <c r="CV65" s="377"/>
      <c r="CW65" s="377"/>
      <c r="CX65" s="377"/>
      <c r="CY65" s="377"/>
      <c r="CZ65" s="377"/>
      <c r="DA65" s="377"/>
      <c r="DB65" s="377"/>
      <c r="DC65" s="377"/>
      <c r="DD65" s="377"/>
      <c r="DE65" s="377"/>
      <c r="DF65" s="377"/>
      <c r="DG65" s="377"/>
      <c r="DH65" s="377"/>
      <c r="DI65" s="377"/>
      <c r="DJ65" s="377"/>
      <c r="DK65" s="377"/>
      <c r="DL65" s="377"/>
      <c r="DM65" s="377"/>
      <c r="DN65" s="377"/>
      <c r="DO65" s="377"/>
      <c r="DP65" s="377"/>
      <c r="DQ65" s="377"/>
      <c r="DR65" s="377"/>
      <c r="DS65" s="377"/>
      <c r="DT65" s="377"/>
      <c r="DU65" s="377"/>
      <c r="DV65" s="377"/>
      <c r="DW65" s="377"/>
      <c r="DX65" s="377"/>
      <c r="DY65" s="377"/>
      <c r="DZ65" s="377"/>
      <c r="EA65" s="377"/>
      <c r="EB65" s="377"/>
      <c r="EC65" s="377"/>
      <c r="ED65" s="377"/>
      <c r="EE65" s="377"/>
      <c r="EF65" s="377"/>
      <c r="EG65" s="377"/>
      <c r="EH65" s="377"/>
      <c r="EI65" s="377"/>
      <c r="EJ65" s="377"/>
      <c r="EK65" s="377"/>
      <c r="EL65" s="377"/>
      <c r="EM65" s="377"/>
      <c r="EN65" s="377"/>
      <c r="EO65" s="377"/>
      <c r="EP65" s="377"/>
      <c r="EQ65" s="377"/>
      <c r="ER65" s="377"/>
      <c r="ES65" s="377"/>
      <c r="ET65" s="377"/>
      <c r="EU65" s="377"/>
      <c r="EV65" s="377"/>
      <c r="EW65" s="377"/>
      <c r="EX65" s="377"/>
      <c r="EY65" s="377"/>
      <c r="EZ65" s="377"/>
      <c r="FA65" s="377"/>
      <c r="FB65" s="377"/>
      <c r="FC65" s="377"/>
      <c r="FD65" s="377"/>
      <c r="FE65" s="377"/>
      <c r="FF65" s="377"/>
      <c r="FG65" s="377"/>
      <c r="FH65" s="377"/>
      <c r="FI65" s="377"/>
      <c r="FJ65" s="377"/>
      <c r="FK65" s="377"/>
      <c r="FL65" s="377"/>
      <c r="FM65" s="377"/>
      <c r="FN65" s="377"/>
      <c r="FO65" s="377"/>
      <c r="FP65" s="377"/>
      <c r="FQ65" s="377"/>
      <c r="FR65" s="377"/>
      <c r="FS65" s="377"/>
      <c r="FT65" s="377"/>
      <c r="FU65" s="377"/>
      <c r="FV65" s="377"/>
      <c r="FW65" s="377"/>
      <c r="FX65" s="377"/>
      <c r="FY65" s="377"/>
      <c r="FZ65" s="377"/>
      <c r="GA65" s="377"/>
      <c r="GB65" s="377"/>
      <c r="GC65" s="377"/>
      <c r="GD65" s="377"/>
      <c r="GE65" s="377"/>
      <c r="GF65" s="377"/>
      <c r="GG65" s="377"/>
      <c r="GH65" s="377"/>
      <c r="GI65" s="377"/>
      <c r="GJ65" s="377"/>
      <c r="GK65" s="377"/>
      <c r="GL65" s="377"/>
      <c r="GM65" s="377"/>
      <c r="GN65" s="377"/>
      <c r="GO65" s="377"/>
      <c r="GP65" s="377"/>
      <c r="GQ65" s="377"/>
      <c r="GR65" s="377"/>
      <c r="GS65" s="377"/>
    </row>
    <row r="66" spans="1:201">
      <c r="A66" s="808"/>
      <c r="B66" s="811"/>
      <c r="C66" s="814"/>
      <c r="D66" s="817"/>
      <c r="E66" s="819"/>
      <c r="F66" s="824">
        <v>0.05</v>
      </c>
      <c r="G66" s="825"/>
      <c r="H66" s="825"/>
      <c r="I66" s="825"/>
      <c r="J66" s="825"/>
      <c r="K66" s="826"/>
      <c r="L66" s="825">
        <v>0.05</v>
      </c>
      <c r="M66" s="825"/>
      <c r="N66" s="825"/>
      <c r="O66" s="825"/>
      <c r="P66" s="825"/>
      <c r="Q66" s="825"/>
      <c r="R66" s="824">
        <v>0.1</v>
      </c>
      <c r="S66" s="825"/>
      <c r="T66" s="825"/>
      <c r="U66" s="825"/>
      <c r="V66" s="825"/>
      <c r="W66" s="826"/>
      <c r="X66" s="825">
        <v>0.1</v>
      </c>
      <c r="Y66" s="825"/>
      <c r="Z66" s="825"/>
      <c r="AA66" s="825"/>
      <c r="AB66" s="825"/>
      <c r="AC66" s="825"/>
      <c r="AD66" s="824">
        <v>0.3</v>
      </c>
      <c r="AE66" s="825"/>
      <c r="AF66" s="825"/>
      <c r="AG66" s="825"/>
      <c r="AH66" s="825"/>
      <c r="AI66" s="825"/>
      <c r="AJ66" s="825">
        <v>0.4</v>
      </c>
      <c r="AK66" s="825"/>
      <c r="AL66" s="825"/>
      <c r="AM66" s="825"/>
      <c r="AN66" s="825"/>
      <c r="AO66" s="827"/>
      <c r="AP66" s="517"/>
      <c r="AQ66" s="377"/>
      <c r="AR66" s="377"/>
      <c r="AS66" s="377"/>
      <c r="AT66" s="377"/>
      <c r="AU66" s="377"/>
      <c r="AV66" s="377"/>
      <c r="AW66" s="377"/>
      <c r="AX66" s="377"/>
      <c r="AY66" s="377"/>
      <c r="AZ66" s="377"/>
      <c r="BA66" s="377"/>
      <c r="BB66" s="377"/>
      <c r="BC66" s="377"/>
      <c r="BD66" s="377"/>
      <c r="BE66" s="377"/>
      <c r="BF66" s="377"/>
      <c r="BG66" s="377"/>
      <c r="BH66" s="377"/>
      <c r="BI66" s="377"/>
      <c r="BJ66" s="377"/>
      <c r="BK66" s="377"/>
      <c r="BL66" s="377"/>
      <c r="BM66" s="377"/>
      <c r="BN66" s="377"/>
      <c r="BO66" s="377"/>
      <c r="BP66" s="377"/>
      <c r="BQ66" s="377"/>
      <c r="BR66" s="377"/>
      <c r="BS66" s="377"/>
      <c r="BT66" s="377"/>
      <c r="BU66" s="377"/>
      <c r="BV66" s="377"/>
      <c r="BW66" s="377"/>
      <c r="BX66" s="377"/>
      <c r="BY66" s="377"/>
      <c r="BZ66" s="377"/>
      <c r="CA66" s="377"/>
      <c r="CB66" s="377"/>
      <c r="CC66" s="377"/>
      <c r="CD66" s="377"/>
      <c r="CE66" s="377"/>
      <c r="CF66" s="377"/>
      <c r="CG66" s="377"/>
      <c r="CH66" s="377"/>
      <c r="CI66" s="377"/>
      <c r="CJ66" s="377"/>
      <c r="CK66" s="377"/>
      <c r="CL66" s="377"/>
      <c r="CM66" s="377"/>
      <c r="CN66" s="377"/>
      <c r="CO66" s="377"/>
      <c r="CP66" s="377"/>
      <c r="CQ66" s="377"/>
      <c r="CR66" s="377"/>
      <c r="CS66" s="377"/>
      <c r="CT66" s="377"/>
      <c r="CU66" s="377"/>
      <c r="CV66" s="377"/>
      <c r="CW66" s="377"/>
      <c r="CX66" s="377"/>
      <c r="CY66" s="377"/>
      <c r="CZ66" s="377"/>
      <c r="DA66" s="377"/>
      <c r="DB66" s="377"/>
      <c r="DC66" s="377"/>
      <c r="DD66" s="377"/>
      <c r="DE66" s="377"/>
      <c r="DF66" s="377"/>
      <c r="DG66" s="377"/>
      <c r="DH66" s="377"/>
      <c r="DI66" s="377"/>
      <c r="DJ66" s="377"/>
      <c r="DK66" s="377"/>
      <c r="DL66" s="377"/>
      <c r="DM66" s="377"/>
      <c r="DN66" s="377"/>
      <c r="DO66" s="377"/>
      <c r="DP66" s="377"/>
      <c r="DQ66" s="377"/>
      <c r="DR66" s="377"/>
      <c r="DS66" s="377"/>
      <c r="DT66" s="377"/>
      <c r="DU66" s="377"/>
      <c r="DV66" s="377"/>
      <c r="DW66" s="377"/>
      <c r="DX66" s="377"/>
      <c r="DY66" s="377"/>
      <c r="DZ66" s="377"/>
      <c r="EA66" s="377"/>
      <c r="EB66" s="377"/>
      <c r="EC66" s="377"/>
      <c r="ED66" s="377"/>
      <c r="EE66" s="377"/>
      <c r="EF66" s="377"/>
      <c r="EG66" s="377"/>
      <c r="EH66" s="377"/>
      <c r="EI66" s="377"/>
      <c r="EJ66" s="377"/>
      <c r="EK66" s="377"/>
      <c r="EL66" s="377"/>
      <c r="EM66" s="377"/>
      <c r="EN66" s="377"/>
      <c r="EO66" s="377"/>
      <c r="EP66" s="377"/>
      <c r="EQ66" s="377"/>
      <c r="ER66" s="377"/>
      <c r="ES66" s="377"/>
      <c r="ET66" s="377"/>
      <c r="EU66" s="377"/>
      <c r="EV66" s="377"/>
      <c r="EW66" s="377"/>
      <c r="EX66" s="377"/>
      <c r="EY66" s="377"/>
      <c r="EZ66" s="377"/>
      <c r="FA66" s="377"/>
      <c r="FB66" s="377"/>
      <c r="FC66" s="377"/>
      <c r="FD66" s="377"/>
      <c r="FE66" s="377"/>
      <c r="FF66" s="377"/>
      <c r="FG66" s="377"/>
      <c r="FH66" s="377"/>
      <c r="FI66" s="377"/>
      <c r="FJ66" s="377"/>
      <c r="FK66" s="377"/>
      <c r="FL66" s="377"/>
      <c r="FM66" s="377"/>
      <c r="FN66" s="377"/>
      <c r="FO66" s="377"/>
      <c r="FP66" s="377"/>
      <c r="FQ66" s="377"/>
      <c r="FR66" s="377"/>
      <c r="FS66" s="377"/>
      <c r="FT66" s="377"/>
      <c r="FU66" s="377"/>
      <c r="FV66" s="377"/>
      <c r="FW66" s="377"/>
      <c r="FX66" s="377"/>
      <c r="FY66" s="377"/>
      <c r="FZ66" s="377"/>
      <c r="GA66" s="377"/>
      <c r="GB66" s="377"/>
      <c r="GC66" s="377"/>
      <c r="GD66" s="377"/>
      <c r="GE66" s="377"/>
      <c r="GF66" s="377"/>
      <c r="GG66" s="377"/>
      <c r="GH66" s="377"/>
      <c r="GI66" s="377"/>
      <c r="GJ66" s="377"/>
      <c r="GK66" s="377"/>
      <c r="GL66" s="377"/>
      <c r="GM66" s="377"/>
      <c r="GN66" s="377"/>
      <c r="GO66" s="377"/>
      <c r="GP66" s="377"/>
      <c r="GQ66" s="377"/>
      <c r="GR66" s="377"/>
      <c r="GS66" s="377"/>
    </row>
    <row r="67" spans="1:201">
      <c r="A67" s="872">
        <f>'PLANILHA ORÇAMENTARIA'!A245</f>
        <v>19</v>
      </c>
      <c r="B67" s="905" t="str">
        <f>'PLANILHA ORÇAMENTARIA'!B245</f>
        <v>INSTALÇAOES HIDRO SANITÁRIAS</v>
      </c>
      <c r="C67" s="899"/>
      <c r="D67" s="880">
        <f>'PLANILHA ORÇAMENTARIA'!F245</f>
        <v>83686.95</v>
      </c>
      <c r="E67" s="883">
        <f>D67/$D$82</f>
        <v>2.4441282157919048E-2</v>
      </c>
      <c r="F67" s="885">
        <f>$D$67*F69</f>
        <v>4184.3474999999999</v>
      </c>
      <c r="G67" s="830"/>
      <c r="H67" s="830"/>
      <c r="I67" s="830"/>
      <c r="J67" s="830"/>
      <c r="K67" s="886"/>
      <c r="L67" s="830">
        <f>$D$67*L69</f>
        <v>4184.3474999999999</v>
      </c>
      <c r="M67" s="830"/>
      <c r="N67" s="830"/>
      <c r="O67" s="830"/>
      <c r="P67" s="830"/>
      <c r="Q67" s="830"/>
      <c r="R67" s="885">
        <f>$D$67*R69</f>
        <v>8368.6949999999997</v>
      </c>
      <c r="S67" s="830"/>
      <c r="T67" s="830"/>
      <c r="U67" s="830"/>
      <c r="V67" s="830"/>
      <c r="W67" s="886"/>
      <c r="X67" s="830">
        <f>$D$67*X69</f>
        <v>8368.6949999999997</v>
      </c>
      <c r="Y67" s="830"/>
      <c r="Z67" s="830"/>
      <c r="AA67" s="830"/>
      <c r="AB67" s="830"/>
      <c r="AC67" s="830"/>
      <c r="AD67" s="885">
        <f>$D$67*AD69</f>
        <v>25106.084999999999</v>
      </c>
      <c r="AE67" s="830"/>
      <c r="AF67" s="830"/>
      <c r="AG67" s="830"/>
      <c r="AH67" s="830"/>
      <c r="AI67" s="830"/>
      <c r="AJ67" s="830">
        <f>$D$67*AJ69</f>
        <v>33474.78</v>
      </c>
      <c r="AK67" s="830"/>
      <c r="AL67" s="830"/>
      <c r="AM67" s="830"/>
      <c r="AN67" s="830"/>
      <c r="AO67" s="831"/>
      <c r="AP67" s="520"/>
      <c r="AQ67" s="377"/>
      <c r="AR67" s="377"/>
      <c r="AS67" s="377"/>
      <c r="AT67" s="377"/>
      <c r="AU67" s="377"/>
      <c r="AV67" s="377"/>
      <c r="AW67" s="377"/>
      <c r="AX67" s="377"/>
      <c r="AY67" s="377"/>
      <c r="AZ67" s="377"/>
      <c r="BA67" s="377"/>
      <c r="BB67" s="377"/>
      <c r="BC67" s="377"/>
      <c r="BD67" s="377"/>
      <c r="BE67" s="377"/>
      <c r="BF67" s="377"/>
      <c r="BG67" s="377"/>
      <c r="BH67" s="377"/>
      <c r="BI67" s="377"/>
      <c r="BJ67" s="377"/>
      <c r="BK67" s="377"/>
      <c r="BL67" s="377"/>
      <c r="BM67" s="377"/>
      <c r="BN67" s="377"/>
      <c r="BO67" s="377"/>
      <c r="BP67" s="377"/>
      <c r="BQ67" s="377"/>
      <c r="BR67" s="377"/>
      <c r="BS67" s="377"/>
      <c r="BT67" s="377"/>
      <c r="BU67" s="377"/>
      <c r="BV67" s="377"/>
      <c r="BW67" s="377"/>
      <c r="BX67" s="377"/>
      <c r="BY67" s="377"/>
      <c r="BZ67" s="377"/>
      <c r="CA67" s="377"/>
      <c r="CB67" s="377"/>
      <c r="CC67" s="377"/>
      <c r="CD67" s="377"/>
      <c r="CE67" s="377"/>
      <c r="CF67" s="377"/>
      <c r="CG67" s="377"/>
      <c r="CH67" s="377"/>
      <c r="CI67" s="377"/>
      <c r="CJ67" s="377"/>
      <c r="CK67" s="377"/>
      <c r="CL67" s="377"/>
      <c r="CM67" s="377"/>
      <c r="CN67" s="377"/>
      <c r="CO67" s="377"/>
      <c r="CP67" s="377"/>
      <c r="CQ67" s="377"/>
      <c r="CR67" s="377"/>
      <c r="CS67" s="377"/>
      <c r="CT67" s="377"/>
      <c r="CU67" s="377"/>
      <c r="CV67" s="377"/>
      <c r="CW67" s="377"/>
      <c r="CX67" s="377"/>
      <c r="CY67" s="377"/>
      <c r="CZ67" s="377"/>
      <c r="DA67" s="377"/>
      <c r="DB67" s="377"/>
      <c r="DC67" s="377"/>
      <c r="DD67" s="377"/>
      <c r="DE67" s="377"/>
      <c r="DF67" s="377"/>
      <c r="DG67" s="377"/>
      <c r="DH67" s="377"/>
      <c r="DI67" s="377"/>
      <c r="DJ67" s="377"/>
      <c r="DK67" s="377"/>
      <c r="DL67" s="377"/>
      <c r="DM67" s="377"/>
      <c r="DN67" s="377"/>
      <c r="DO67" s="377"/>
      <c r="DP67" s="377"/>
      <c r="DQ67" s="377"/>
      <c r="DR67" s="377"/>
      <c r="DS67" s="377"/>
      <c r="DT67" s="377"/>
      <c r="DU67" s="377"/>
      <c r="DV67" s="377"/>
      <c r="DW67" s="377"/>
      <c r="DX67" s="377"/>
      <c r="DY67" s="377"/>
      <c r="DZ67" s="377"/>
      <c r="EA67" s="377"/>
      <c r="EB67" s="377"/>
      <c r="EC67" s="377"/>
      <c r="ED67" s="377"/>
      <c r="EE67" s="377"/>
      <c r="EF67" s="377"/>
      <c r="EG67" s="377"/>
      <c r="EH67" s="377"/>
      <c r="EI67" s="377"/>
      <c r="EJ67" s="377"/>
      <c r="EK67" s="377"/>
      <c r="EL67" s="377"/>
      <c r="EM67" s="377"/>
      <c r="EN67" s="377"/>
      <c r="EO67" s="377"/>
      <c r="EP67" s="377"/>
      <c r="EQ67" s="377"/>
      <c r="ER67" s="377"/>
      <c r="ES67" s="377"/>
      <c r="ET67" s="377"/>
      <c r="EU67" s="377"/>
      <c r="EV67" s="377"/>
      <c r="EW67" s="377"/>
      <c r="EX67" s="377"/>
      <c r="EY67" s="377"/>
      <c r="EZ67" s="377"/>
      <c r="FA67" s="377"/>
      <c r="FB67" s="377"/>
      <c r="FC67" s="377"/>
      <c r="FD67" s="377"/>
      <c r="FE67" s="377"/>
      <c r="FF67" s="377"/>
      <c r="FG67" s="377"/>
      <c r="FH67" s="377"/>
      <c r="FI67" s="377"/>
      <c r="FJ67" s="377"/>
      <c r="FK67" s="377"/>
      <c r="FL67" s="377"/>
      <c r="FM67" s="377"/>
      <c r="FN67" s="377"/>
      <c r="FO67" s="377"/>
      <c r="FP67" s="377"/>
      <c r="FQ67" s="377"/>
      <c r="FR67" s="377"/>
      <c r="FS67" s="377"/>
      <c r="FT67" s="377"/>
      <c r="FU67" s="377"/>
      <c r="FV67" s="377"/>
      <c r="FW67" s="377"/>
      <c r="FX67" s="377"/>
      <c r="FY67" s="377"/>
      <c r="FZ67" s="377"/>
      <c r="GA67" s="377"/>
      <c r="GB67" s="377"/>
      <c r="GC67" s="377"/>
      <c r="GD67" s="377"/>
      <c r="GE67" s="377"/>
      <c r="GF67" s="377"/>
      <c r="GG67" s="377"/>
      <c r="GH67" s="377"/>
      <c r="GI67" s="377"/>
      <c r="GJ67" s="377"/>
      <c r="GK67" s="377"/>
      <c r="GL67" s="377"/>
      <c r="GM67" s="377"/>
      <c r="GN67" s="377"/>
      <c r="GO67" s="377"/>
      <c r="GP67" s="377"/>
      <c r="GQ67" s="377"/>
      <c r="GR67" s="377"/>
      <c r="GS67" s="377"/>
    </row>
    <row r="68" spans="1:201" ht="5.0999999999999996" customHeight="1">
      <c r="A68" s="872"/>
      <c r="B68" s="905"/>
      <c r="C68" s="899"/>
      <c r="D68" s="880"/>
      <c r="E68" s="883"/>
      <c r="F68" s="718">
        <v>1</v>
      </c>
      <c r="G68" s="719">
        <v>1</v>
      </c>
      <c r="H68" s="719">
        <v>1</v>
      </c>
      <c r="I68" s="719">
        <v>1</v>
      </c>
      <c r="J68" s="719">
        <v>1</v>
      </c>
      <c r="K68" s="719">
        <v>1</v>
      </c>
      <c r="L68" s="720">
        <v>1</v>
      </c>
      <c r="M68" s="719">
        <v>1</v>
      </c>
      <c r="N68" s="719">
        <v>1</v>
      </c>
      <c r="O68" s="719">
        <v>1</v>
      </c>
      <c r="P68" s="719">
        <v>1</v>
      </c>
      <c r="Q68" s="721">
        <v>1</v>
      </c>
      <c r="R68" s="718">
        <v>1</v>
      </c>
      <c r="S68" s="719">
        <v>1</v>
      </c>
      <c r="T68" s="719">
        <v>1</v>
      </c>
      <c r="U68" s="719">
        <v>1</v>
      </c>
      <c r="V68" s="719">
        <v>1</v>
      </c>
      <c r="W68" s="719">
        <v>1</v>
      </c>
      <c r="X68" s="720">
        <v>1</v>
      </c>
      <c r="Y68" s="719">
        <v>1</v>
      </c>
      <c r="Z68" s="719">
        <v>1</v>
      </c>
      <c r="AA68" s="719">
        <v>1</v>
      </c>
      <c r="AB68" s="719">
        <v>1</v>
      </c>
      <c r="AC68" s="721">
        <v>1</v>
      </c>
      <c r="AD68" s="733">
        <v>1</v>
      </c>
      <c r="AE68" s="723">
        <v>1</v>
      </c>
      <c r="AF68" s="723">
        <v>1</v>
      </c>
      <c r="AG68" s="723">
        <v>1</v>
      </c>
      <c r="AH68" s="723">
        <v>1</v>
      </c>
      <c r="AI68" s="723">
        <v>1</v>
      </c>
      <c r="AJ68" s="722">
        <v>1</v>
      </c>
      <c r="AK68" s="723">
        <v>1</v>
      </c>
      <c r="AL68" s="723">
        <v>1</v>
      </c>
      <c r="AM68" s="723">
        <v>1</v>
      </c>
      <c r="AN68" s="723">
        <v>1</v>
      </c>
      <c r="AO68" s="724">
        <v>1</v>
      </c>
      <c r="AP68" s="517"/>
      <c r="AQ68" s="377"/>
      <c r="AR68" s="377"/>
      <c r="AS68" s="377"/>
      <c r="AT68" s="377"/>
      <c r="AU68" s="377"/>
      <c r="AV68" s="377"/>
      <c r="AW68" s="377"/>
      <c r="AX68" s="377"/>
      <c r="AY68" s="377"/>
      <c r="AZ68" s="377"/>
      <c r="BA68" s="377"/>
      <c r="BB68" s="377"/>
      <c r="BC68" s="377"/>
      <c r="BD68" s="377"/>
      <c r="BE68" s="377"/>
      <c r="BF68" s="377"/>
      <c r="BG68" s="377"/>
      <c r="BH68" s="377"/>
      <c r="BI68" s="377"/>
      <c r="BJ68" s="377"/>
      <c r="BK68" s="377"/>
      <c r="BL68" s="377"/>
      <c r="BM68" s="377"/>
      <c r="BN68" s="377"/>
      <c r="BO68" s="377"/>
      <c r="BP68" s="377"/>
      <c r="BQ68" s="377"/>
      <c r="BR68" s="377"/>
      <c r="BS68" s="377"/>
      <c r="BT68" s="377"/>
      <c r="BU68" s="377"/>
      <c r="BV68" s="377"/>
      <c r="BW68" s="377"/>
      <c r="BX68" s="377"/>
      <c r="BY68" s="377"/>
      <c r="BZ68" s="377"/>
      <c r="CA68" s="377"/>
      <c r="CB68" s="377"/>
      <c r="CC68" s="377"/>
      <c r="CD68" s="377"/>
      <c r="CE68" s="377"/>
      <c r="CF68" s="377"/>
      <c r="CG68" s="377"/>
      <c r="CH68" s="377"/>
      <c r="CI68" s="377"/>
      <c r="CJ68" s="377"/>
      <c r="CK68" s="377"/>
      <c r="CL68" s="377"/>
      <c r="CM68" s="377"/>
      <c r="CN68" s="377"/>
      <c r="CO68" s="377"/>
      <c r="CP68" s="377"/>
      <c r="CQ68" s="377"/>
      <c r="CR68" s="377"/>
      <c r="CS68" s="377"/>
      <c r="CT68" s="377"/>
      <c r="CU68" s="377"/>
      <c r="CV68" s="377"/>
      <c r="CW68" s="377"/>
      <c r="CX68" s="377"/>
      <c r="CY68" s="377"/>
      <c r="CZ68" s="377"/>
      <c r="DA68" s="377"/>
      <c r="DB68" s="377"/>
      <c r="DC68" s="377"/>
      <c r="DD68" s="377"/>
      <c r="DE68" s="377"/>
      <c r="DF68" s="377"/>
      <c r="DG68" s="377"/>
      <c r="DH68" s="377"/>
      <c r="DI68" s="377"/>
      <c r="DJ68" s="377"/>
      <c r="DK68" s="377"/>
      <c r="DL68" s="377"/>
      <c r="DM68" s="377"/>
      <c r="DN68" s="377"/>
      <c r="DO68" s="377"/>
      <c r="DP68" s="377"/>
      <c r="DQ68" s="377"/>
      <c r="DR68" s="377"/>
      <c r="DS68" s="377"/>
      <c r="DT68" s="377"/>
      <c r="DU68" s="377"/>
      <c r="DV68" s="377"/>
      <c r="DW68" s="377"/>
      <c r="DX68" s="377"/>
      <c r="DY68" s="377"/>
      <c r="DZ68" s="377"/>
      <c r="EA68" s="377"/>
      <c r="EB68" s="377"/>
      <c r="EC68" s="377"/>
      <c r="ED68" s="377"/>
      <c r="EE68" s="377"/>
      <c r="EF68" s="377"/>
      <c r="EG68" s="377"/>
      <c r="EH68" s="377"/>
      <c r="EI68" s="377"/>
      <c r="EJ68" s="377"/>
      <c r="EK68" s="377"/>
      <c r="EL68" s="377"/>
      <c r="EM68" s="377"/>
      <c r="EN68" s="377"/>
      <c r="EO68" s="377"/>
      <c r="EP68" s="377"/>
      <c r="EQ68" s="377"/>
      <c r="ER68" s="377"/>
      <c r="ES68" s="377"/>
      <c r="ET68" s="377"/>
      <c r="EU68" s="377"/>
      <c r="EV68" s="377"/>
      <c r="EW68" s="377"/>
      <c r="EX68" s="377"/>
      <c r="EY68" s="377"/>
      <c r="EZ68" s="377"/>
      <c r="FA68" s="377"/>
      <c r="FB68" s="377"/>
      <c r="FC68" s="377"/>
      <c r="FD68" s="377"/>
      <c r="FE68" s="377"/>
      <c r="FF68" s="377"/>
      <c r="FG68" s="377"/>
      <c r="FH68" s="377"/>
      <c r="FI68" s="377"/>
      <c r="FJ68" s="377"/>
      <c r="FK68" s="377"/>
      <c r="FL68" s="377"/>
      <c r="FM68" s="377"/>
      <c r="FN68" s="377"/>
      <c r="FO68" s="377"/>
      <c r="FP68" s="377"/>
      <c r="FQ68" s="377"/>
      <c r="FR68" s="377"/>
      <c r="FS68" s="377"/>
      <c r="FT68" s="377"/>
      <c r="FU68" s="377"/>
      <c r="FV68" s="377"/>
      <c r="FW68" s="377"/>
      <c r="FX68" s="377"/>
      <c r="FY68" s="377"/>
      <c r="FZ68" s="377"/>
      <c r="GA68" s="377"/>
      <c r="GB68" s="377"/>
      <c r="GC68" s="377"/>
      <c r="GD68" s="377"/>
      <c r="GE68" s="377"/>
      <c r="GF68" s="377"/>
      <c r="GG68" s="377"/>
      <c r="GH68" s="377"/>
      <c r="GI68" s="377"/>
      <c r="GJ68" s="377"/>
      <c r="GK68" s="377"/>
      <c r="GL68" s="377"/>
      <c r="GM68" s="377"/>
      <c r="GN68" s="377"/>
      <c r="GO68" s="377"/>
      <c r="GP68" s="377"/>
      <c r="GQ68" s="377"/>
      <c r="GR68" s="377"/>
      <c r="GS68" s="377"/>
    </row>
    <row r="69" spans="1:201">
      <c r="A69" s="913"/>
      <c r="B69" s="914"/>
      <c r="C69" s="915"/>
      <c r="D69" s="901"/>
      <c r="E69" s="884"/>
      <c r="F69" s="869">
        <v>0.05</v>
      </c>
      <c r="G69" s="828"/>
      <c r="H69" s="828"/>
      <c r="I69" s="828"/>
      <c r="J69" s="828"/>
      <c r="K69" s="870"/>
      <c r="L69" s="828">
        <v>0.05</v>
      </c>
      <c r="M69" s="828"/>
      <c r="N69" s="828"/>
      <c r="O69" s="828"/>
      <c r="P69" s="828"/>
      <c r="Q69" s="828"/>
      <c r="R69" s="869">
        <v>0.1</v>
      </c>
      <c r="S69" s="828"/>
      <c r="T69" s="828"/>
      <c r="U69" s="828"/>
      <c r="V69" s="828"/>
      <c r="W69" s="870"/>
      <c r="X69" s="828">
        <v>0.1</v>
      </c>
      <c r="Y69" s="828"/>
      <c r="Z69" s="828"/>
      <c r="AA69" s="828"/>
      <c r="AB69" s="828"/>
      <c r="AC69" s="828"/>
      <c r="AD69" s="869">
        <v>0.3</v>
      </c>
      <c r="AE69" s="828"/>
      <c r="AF69" s="828"/>
      <c r="AG69" s="828"/>
      <c r="AH69" s="828"/>
      <c r="AI69" s="828"/>
      <c r="AJ69" s="828">
        <v>0.4</v>
      </c>
      <c r="AK69" s="828"/>
      <c r="AL69" s="828"/>
      <c r="AM69" s="828"/>
      <c r="AN69" s="828"/>
      <c r="AO69" s="829"/>
      <c r="AP69" s="517"/>
      <c r="AQ69" s="377"/>
      <c r="AR69" s="377"/>
      <c r="AS69" s="377"/>
      <c r="AT69" s="377"/>
      <c r="AU69" s="377"/>
      <c r="AV69" s="377"/>
      <c r="AW69" s="377"/>
      <c r="AX69" s="377"/>
      <c r="AY69" s="377"/>
      <c r="AZ69" s="377"/>
      <c r="BA69" s="377"/>
      <c r="BB69" s="377"/>
      <c r="BC69" s="377"/>
      <c r="BD69" s="377"/>
      <c r="BE69" s="377"/>
      <c r="BF69" s="377"/>
      <c r="BG69" s="377"/>
      <c r="BH69" s="377"/>
      <c r="BI69" s="377"/>
      <c r="BJ69" s="377"/>
      <c r="BK69" s="377"/>
      <c r="BL69" s="377"/>
      <c r="BM69" s="377"/>
      <c r="BN69" s="377"/>
      <c r="BO69" s="377"/>
      <c r="BP69" s="377"/>
      <c r="BQ69" s="377"/>
      <c r="BR69" s="377"/>
      <c r="BS69" s="377"/>
      <c r="BT69" s="377"/>
      <c r="BU69" s="377"/>
      <c r="BV69" s="377"/>
      <c r="BW69" s="377"/>
      <c r="BX69" s="377"/>
      <c r="BY69" s="377"/>
      <c r="BZ69" s="377"/>
      <c r="CA69" s="377"/>
      <c r="CB69" s="377"/>
      <c r="CC69" s="377"/>
      <c r="CD69" s="377"/>
      <c r="CE69" s="377"/>
      <c r="CF69" s="377"/>
      <c r="CG69" s="377"/>
      <c r="CH69" s="377"/>
      <c r="CI69" s="377"/>
      <c r="CJ69" s="377"/>
      <c r="CK69" s="377"/>
      <c r="CL69" s="377"/>
      <c r="CM69" s="377"/>
      <c r="CN69" s="377"/>
      <c r="CO69" s="377"/>
      <c r="CP69" s="377"/>
      <c r="CQ69" s="377"/>
      <c r="CR69" s="377"/>
      <c r="CS69" s="377"/>
      <c r="CT69" s="377"/>
      <c r="CU69" s="377"/>
      <c r="CV69" s="377"/>
      <c r="CW69" s="377"/>
      <c r="CX69" s="377"/>
      <c r="CY69" s="377"/>
      <c r="CZ69" s="377"/>
      <c r="DA69" s="377"/>
      <c r="DB69" s="377"/>
      <c r="DC69" s="377"/>
      <c r="DD69" s="377"/>
      <c r="DE69" s="377"/>
      <c r="DF69" s="377"/>
      <c r="DG69" s="377"/>
      <c r="DH69" s="377"/>
      <c r="DI69" s="377"/>
      <c r="DJ69" s="377"/>
      <c r="DK69" s="377"/>
      <c r="DL69" s="377"/>
      <c r="DM69" s="377"/>
      <c r="DN69" s="377"/>
      <c r="DO69" s="377"/>
      <c r="DP69" s="377"/>
      <c r="DQ69" s="377"/>
      <c r="DR69" s="377"/>
      <c r="DS69" s="377"/>
      <c r="DT69" s="377"/>
      <c r="DU69" s="377"/>
      <c r="DV69" s="377"/>
      <c r="DW69" s="377"/>
      <c r="DX69" s="377"/>
      <c r="DY69" s="377"/>
      <c r="DZ69" s="377"/>
      <c r="EA69" s="377"/>
      <c r="EB69" s="377"/>
      <c r="EC69" s="377"/>
      <c r="ED69" s="377"/>
      <c r="EE69" s="377"/>
      <c r="EF69" s="377"/>
      <c r="EG69" s="377"/>
      <c r="EH69" s="377"/>
      <c r="EI69" s="377"/>
      <c r="EJ69" s="377"/>
      <c r="EK69" s="377"/>
      <c r="EL69" s="377"/>
      <c r="EM69" s="377"/>
      <c r="EN69" s="377"/>
      <c r="EO69" s="377"/>
      <c r="EP69" s="377"/>
      <c r="EQ69" s="377"/>
      <c r="ER69" s="377"/>
      <c r="ES69" s="377"/>
      <c r="ET69" s="377"/>
      <c r="EU69" s="377"/>
      <c r="EV69" s="377"/>
      <c r="EW69" s="377"/>
      <c r="EX69" s="377"/>
      <c r="EY69" s="377"/>
      <c r="EZ69" s="377"/>
      <c r="FA69" s="377"/>
      <c r="FB69" s="377"/>
      <c r="FC69" s="377"/>
      <c r="FD69" s="377"/>
      <c r="FE69" s="377"/>
      <c r="FF69" s="377"/>
      <c r="FG69" s="377"/>
      <c r="FH69" s="377"/>
      <c r="FI69" s="377"/>
      <c r="FJ69" s="377"/>
      <c r="FK69" s="377"/>
      <c r="FL69" s="377"/>
      <c r="FM69" s="377"/>
      <c r="FN69" s="377"/>
      <c r="FO69" s="377"/>
      <c r="FP69" s="377"/>
      <c r="FQ69" s="377"/>
      <c r="FR69" s="377"/>
      <c r="FS69" s="377"/>
      <c r="FT69" s="377"/>
      <c r="FU69" s="377"/>
      <c r="FV69" s="377"/>
      <c r="FW69" s="377"/>
      <c r="FX69" s="377"/>
      <c r="FY69" s="377"/>
      <c r="FZ69" s="377"/>
      <c r="GA69" s="377"/>
      <c r="GB69" s="377"/>
      <c r="GC69" s="377"/>
      <c r="GD69" s="377"/>
      <c r="GE69" s="377"/>
      <c r="GF69" s="377"/>
      <c r="GG69" s="377"/>
      <c r="GH69" s="377"/>
      <c r="GI69" s="377"/>
      <c r="GJ69" s="377"/>
      <c r="GK69" s="377"/>
      <c r="GL69" s="377"/>
      <c r="GM69" s="377"/>
      <c r="GN69" s="377"/>
      <c r="GO69" s="377"/>
      <c r="GP69" s="377"/>
      <c r="GQ69" s="377"/>
      <c r="GR69" s="377"/>
      <c r="GS69" s="377"/>
    </row>
    <row r="70" spans="1:201">
      <c r="A70" s="806">
        <f>'PLANILHA ORÇAMENTARIA'!A361</f>
        <v>20</v>
      </c>
      <c r="B70" s="809" t="str">
        <f>'PLANILHA ORÇAMENTARIA'!B361</f>
        <v>PREVENÇÃO E COMBATE A INCÊNDIO</v>
      </c>
      <c r="C70" s="812"/>
      <c r="D70" s="815">
        <f>'PLANILHA ORÇAMENTARIA'!F361</f>
        <v>25501.78000000001</v>
      </c>
      <c r="E70" s="818">
        <f>D70/$D$82</f>
        <v>7.4479497760305165E-3</v>
      </c>
      <c r="F70" s="820">
        <f>$D$70*F72</f>
        <v>0</v>
      </c>
      <c r="G70" s="821"/>
      <c r="H70" s="821"/>
      <c r="I70" s="821"/>
      <c r="J70" s="821"/>
      <c r="K70" s="822"/>
      <c r="L70" s="821">
        <f>$D$70*L72</f>
        <v>0</v>
      </c>
      <c r="M70" s="821"/>
      <c r="N70" s="821"/>
      <c r="O70" s="821"/>
      <c r="P70" s="821"/>
      <c r="Q70" s="821"/>
      <c r="R70" s="820">
        <f>$D$70*R72</f>
        <v>0</v>
      </c>
      <c r="S70" s="821"/>
      <c r="T70" s="821"/>
      <c r="U70" s="821"/>
      <c r="V70" s="821"/>
      <c r="W70" s="822"/>
      <c r="X70" s="821">
        <f>$D$70*X72</f>
        <v>0</v>
      </c>
      <c r="Y70" s="821"/>
      <c r="Z70" s="821"/>
      <c r="AA70" s="821"/>
      <c r="AB70" s="821"/>
      <c r="AC70" s="821"/>
      <c r="AD70" s="820">
        <f>$D$70*AD72</f>
        <v>12750.890000000005</v>
      </c>
      <c r="AE70" s="821"/>
      <c r="AF70" s="821"/>
      <c r="AG70" s="821"/>
      <c r="AH70" s="821"/>
      <c r="AI70" s="821"/>
      <c r="AJ70" s="821">
        <f>$D$70*AJ72</f>
        <v>12750.890000000005</v>
      </c>
      <c r="AK70" s="821"/>
      <c r="AL70" s="821"/>
      <c r="AM70" s="821"/>
      <c r="AN70" s="821"/>
      <c r="AO70" s="823"/>
      <c r="AP70" s="520"/>
      <c r="AQ70" s="377"/>
      <c r="AR70" s="377"/>
      <c r="AS70" s="377"/>
      <c r="AT70" s="377"/>
      <c r="AU70" s="377"/>
      <c r="AV70" s="377"/>
      <c r="AW70" s="377"/>
      <c r="AX70" s="377"/>
      <c r="AY70" s="377"/>
      <c r="AZ70" s="377"/>
      <c r="BA70" s="377"/>
      <c r="BB70" s="377"/>
      <c r="BC70" s="377"/>
      <c r="BD70" s="377"/>
      <c r="BE70" s="377"/>
      <c r="BF70" s="377"/>
      <c r="BG70" s="377"/>
      <c r="BH70" s="377"/>
      <c r="BI70" s="377"/>
      <c r="BJ70" s="377"/>
      <c r="BK70" s="377"/>
      <c r="BL70" s="377"/>
      <c r="BM70" s="377"/>
      <c r="BN70" s="377"/>
      <c r="BO70" s="377"/>
      <c r="BP70" s="377"/>
      <c r="BQ70" s="377"/>
      <c r="BR70" s="377"/>
      <c r="BS70" s="377"/>
      <c r="BT70" s="377"/>
      <c r="BU70" s="377"/>
      <c r="BV70" s="377"/>
      <c r="BW70" s="377"/>
      <c r="BX70" s="377"/>
      <c r="BY70" s="377"/>
      <c r="BZ70" s="377"/>
      <c r="CA70" s="377"/>
      <c r="CB70" s="377"/>
      <c r="CC70" s="377"/>
      <c r="CD70" s="377"/>
      <c r="CE70" s="377"/>
      <c r="CF70" s="377"/>
      <c r="CG70" s="377"/>
      <c r="CH70" s="377"/>
      <c r="CI70" s="377"/>
      <c r="CJ70" s="377"/>
      <c r="CK70" s="377"/>
      <c r="CL70" s="377"/>
      <c r="CM70" s="377"/>
      <c r="CN70" s="377"/>
      <c r="CO70" s="377"/>
      <c r="CP70" s="377"/>
      <c r="CQ70" s="377"/>
      <c r="CR70" s="377"/>
      <c r="CS70" s="377"/>
      <c r="CT70" s="377"/>
      <c r="CU70" s="377"/>
      <c r="CV70" s="377"/>
      <c r="CW70" s="377"/>
      <c r="CX70" s="377"/>
      <c r="CY70" s="377"/>
      <c r="CZ70" s="377"/>
      <c r="DA70" s="377"/>
      <c r="DB70" s="377"/>
      <c r="DC70" s="377"/>
      <c r="DD70" s="377"/>
      <c r="DE70" s="377"/>
      <c r="DF70" s="377"/>
      <c r="DG70" s="377"/>
      <c r="DH70" s="377"/>
      <c r="DI70" s="377"/>
      <c r="DJ70" s="377"/>
      <c r="DK70" s="377"/>
      <c r="DL70" s="377"/>
      <c r="DM70" s="377"/>
      <c r="DN70" s="377"/>
      <c r="DO70" s="377"/>
      <c r="DP70" s="377"/>
      <c r="DQ70" s="377"/>
      <c r="DR70" s="377"/>
      <c r="DS70" s="377"/>
      <c r="DT70" s="377"/>
      <c r="DU70" s="377"/>
      <c r="DV70" s="377"/>
      <c r="DW70" s="377"/>
      <c r="DX70" s="377"/>
      <c r="DY70" s="377"/>
      <c r="DZ70" s="377"/>
      <c r="EA70" s="377"/>
      <c r="EB70" s="377"/>
      <c r="EC70" s="377"/>
      <c r="ED70" s="377"/>
      <c r="EE70" s="377"/>
      <c r="EF70" s="377"/>
      <c r="EG70" s="377"/>
      <c r="EH70" s="377"/>
      <c r="EI70" s="377"/>
      <c r="EJ70" s="377"/>
      <c r="EK70" s="377"/>
      <c r="EL70" s="377"/>
      <c r="EM70" s="377"/>
      <c r="EN70" s="377"/>
      <c r="EO70" s="377"/>
      <c r="EP70" s="377"/>
      <c r="EQ70" s="377"/>
      <c r="ER70" s="377"/>
      <c r="ES70" s="377"/>
      <c r="ET70" s="377"/>
      <c r="EU70" s="377"/>
      <c r="EV70" s="377"/>
      <c r="EW70" s="377"/>
      <c r="EX70" s="377"/>
      <c r="EY70" s="377"/>
      <c r="EZ70" s="377"/>
      <c r="FA70" s="377"/>
      <c r="FB70" s="377"/>
      <c r="FC70" s="377"/>
      <c r="FD70" s="377"/>
      <c r="FE70" s="377"/>
      <c r="FF70" s="377"/>
      <c r="FG70" s="377"/>
      <c r="FH70" s="377"/>
      <c r="FI70" s="377"/>
      <c r="FJ70" s="377"/>
      <c r="FK70" s="377"/>
      <c r="FL70" s="377"/>
      <c r="FM70" s="377"/>
      <c r="FN70" s="377"/>
      <c r="FO70" s="377"/>
      <c r="FP70" s="377"/>
      <c r="FQ70" s="377"/>
      <c r="FR70" s="377"/>
      <c r="FS70" s="377"/>
      <c r="FT70" s="377"/>
      <c r="FU70" s="377"/>
      <c r="FV70" s="377"/>
      <c r="FW70" s="377"/>
      <c r="FX70" s="377"/>
      <c r="FY70" s="377"/>
      <c r="FZ70" s="377"/>
      <c r="GA70" s="377"/>
      <c r="GB70" s="377"/>
      <c r="GC70" s="377"/>
      <c r="GD70" s="377"/>
      <c r="GE70" s="377"/>
      <c r="GF70" s="377"/>
      <c r="GG70" s="377"/>
      <c r="GH70" s="377"/>
      <c r="GI70" s="377"/>
      <c r="GJ70" s="377"/>
      <c r="GK70" s="377"/>
      <c r="GL70" s="377"/>
      <c r="GM70" s="377"/>
      <c r="GN70" s="377"/>
      <c r="GO70" s="377"/>
      <c r="GP70" s="377"/>
      <c r="GQ70" s="377"/>
      <c r="GR70" s="377"/>
      <c r="GS70" s="377"/>
    </row>
    <row r="71" spans="1:201" ht="5.0999999999999996" customHeight="1">
      <c r="A71" s="807"/>
      <c r="B71" s="810"/>
      <c r="C71" s="813"/>
      <c r="D71" s="816"/>
      <c r="E71" s="818"/>
      <c r="F71" s="725"/>
      <c r="G71" s="726"/>
      <c r="H71" s="726"/>
      <c r="I71" s="726"/>
      <c r="J71" s="726"/>
      <c r="K71" s="726"/>
      <c r="L71" s="727"/>
      <c r="M71" s="726"/>
      <c r="N71" s="726"/>
      <c r="O71" s="726"/>
      <c r="P71" s="726"/>
      <c r="Q71" s="728"/>
      <c r="R71" s="725"/>
      <c r="S71" s="726"/>
      <c r="T71" s="726"/>
      <c r="U71" s="726"/>
      <c r="V71" s="726"/>
      <c r="W71" s="726"/>
      <c r="X71" s="727"/>
      <c r="Y71" s="726"/>
      <c r="Z71" s="726"/>
      <c r="AA71" s="726"/>
      <c r="AB71" s="726"/>
      <c r="AC71" s="728"/>
      <c r="AD71" s="729">
        <v>1</v>
      </c>
      <c r="AE71" s="730">
        <v>1</v>
      </c>
      <c r="AF71" s="730">
        <v>1</v>
      </c>
      <c r="AG71" s="730">
        <v>1</v>
      </c>
      <c r="AH71" s="730">
        <v>1</v>
      </c>
      <c r="AI71" s="730">
        <v>1</v>
      </c>
      <c r="AJ71" s="731">
        <v>1</v>
      </c>
      <c r="AK71" s="730">
        <v>1</v>
      </c>
      <c r="AL71" s="730">
        <v>1</v>
      </c>
      <c r="AM71" s="730">
        <v>1</v>
      </c>
      <c r="AN71" s="730">
        <v>1</v>
      </c>
      <c r="AO71" s="732">
        <v>1</v>
      </c>
      <c r="AP71" s="517"/>
      <c r="AQ71" s="377"/>
      <c r="AR71" s="377"/>
      <c r="AS71" s="377"/>
      <c r="AT71" s="377"/>
      <c r="AU71" s="377"/>
      <c r="AV71" s="377"/>
      <c r="AW71" s="377"/>
      <c r="AX71" s="377"/>
      <c r="AY71" s="377"/>
      <c r="AZ71" s="377"/>
      <c r="BA71" s="377"/>
      <c r="BB71" s="377"/>
      <c r="BC71" s="377"/>
      <c r="BD71" s="377"/>
      <c r="BE71" s="377"/>
      <c r="BF71" s="377"/>
      <c r="BG71" s="377"/>
      <c r="BH71" s="377"/>
      <c r="BI71" s="377"/>
      <c r="BJ71" s="377"/>
      <c r="BK71" s="377"/>
      <c r="BL71" s="377"/>
      <c r="BM71" s="377"/>
      <c r="BN71" s="377"/>
      <c r="BO71" s="377"/>
      <c r="BP71" s="377"/>
      <c r="BQ71" s="377"/>
      <c r="BR71" s="377"/>
      <c r="BS71" s="377"/>
      <c r="BT71" s="377"/>
      <c r="BU71" s="377"/>
      <c r="BV71" s="377"/>
      <c r="BW71" s="377"/>
      <c r="BX71" s="377"/>
      <c r="BY71" s="377"/>
      <c r="BZ71" s="377"/>
      <c r="CA71" s="377"/>
      <c r="CB71" s="377"/>
      <c r="CC71" s="377"/>
      <c r="CD71" s="377"/>
      <c r="CE71" s="377"/>
      <c r="CF71" s="377"/>
      <c r="CG71" s="377"/>
      <c r="CH71" s="377"/>
      <c r="CI71" s="377"/>
      <c r="CJ71" s="377"/>
      <c r="CK71" s="377"/>
      <c r="CL71" s="377"/>
      <c r="CM71" s="377"/>
      <c r="CN71" s="377"/>
      <c r="CO71" s="377"/>
      <c r="CP71" s="377"/>
      <c r="CQ71" s="377"/>
      <c r="CR71" s="377"/>
      <c r="CS71" s="377"/>
      <c r="CT71" s="377"/>
      <c r="CU71" s="377"/>
      <c r="CV71" s="377"/>
      <c r="CW71" s="377"/>
      <c r="CX71" s="377"/>
      <c r="CY71" s="377"/>
      <c r="CZ71" s="377"/>
      <c r="DA71" s="377"/>
      <c r="DB71" s="377"/>
      <c r="DC71" s="377"/>
      <c r="DD71" s="377"/>
      <c r="DE71" s="377"/>
      <c r="DF71" s="377"/>
      <c r="DG71" s="377"/>
      <c r="DH71" s="377"/>
      <c r="DI71" s="377"/>
      <c r="DJ71" s="377"/>
      <c r="DK71" s="377"/>
      <c r="DL71" s="377"/>
      <c r="DM71" s="377"/>
      <c r="DN71" s="377"/>
      <c r="DO71" s="377"/>
      <c r="DP71" s="377"/>
      <c r="DQ71" s="377"/>
      <c r="DR71" s="377"/>
      <c r="DS71" s="377"/>
      <c r="DT71" s="377"/>
      <c r="DU71" s="377"/>
      <c r="DV71" s="377"/>
      <c r="DW71" s="377"/>
      <c r="DX71" s="377"/>
      <c r="DY71" s="377"/>
      <c r="DZ71" s="377"/>
      <c r="EA71" s="377"/>
      <c r="EB71" s="377"/>
      <c r="EC71" s="377"/>
      <c r="ED71" s="377"/>
      <c r="EE71" s="377"/>
      <c r="EF71" s="377"/>
      <c r="EG71" s="377"/>
      <c r="EH71" s="377"/>
      <c r="EI71" s="377"/>
      <c r="EJ71" s="377"/>
      <c r="EK71" s="377"/>
      <c r="EL71" s="377"/>
      <c r="EM71" s="377"/>
      <c r="EN71" s="377"/>
      <c r="EO71" s="377"/>
      <c r="EP71" s="377"/>
      <c r="EQ71" s="377"/>
      <c r="ER71" s="377"/>
      <c r="ES71" s="377"/>
      <c r="ET71" s="377"/>
      <c r="EU71" s="377"/>
      <c r="EV71" s="377"/>
      <c r="EW71" s="377"/>
      <c r="EX71" s="377"/>
      <c r="EY71" s="377"/>
      <c r="EZ71" s="377"/>
      <c r="FA71" s="377"/>
      <c r="FB71" s="377"/>
      <c r="FC71" s="377"/>
      <c r="FD71" s="377"/>
      <c r="FE71" s="377"/>
      <c r="FF71" s="377"/>
      <c r="FG71" s="377"/>
      <c r="FH71" s="377"/>
      <c r="FI71" s="377"/>
      <c r="FJ71" s="377"/>
      <c r="FK71" s="377"/>
      <c r="FL71" s="377"/>
      <c r="FM71" s="377"/>
      <c r="FN71" s="377"/>
      <c r="FO71" s="377"/>
      <c r="FP71" s="377"/>
      <c r="FQ71" s="377"/>
      <c r="FR71" s="377"/>
      <c r="FS71" s="377"/>
      <c r="FT71" s="377"/>
      <c r="FU71" s="377"/>
      <c r="FV71" s="377"/>
      <c r="FW71" s="377"/>
      <c r="FX71" s="377"/>
      <c r="FY71" s="377"/>
      <c r="FZ71" s="377"/>
      <c r="GA71" s="377"/>
      <c r="GB71" s="377"/>
      <c r="GC71" s="377"/>
      <c r="GD71" s="377"/>
      <c r="GE71" s="377"/>
      <c r="GF71" s="377"/>
      <c r="GG71" s="377"/>
      <c r="GH71" s="377"/>
      <c r="GI71" s="377"/>
      <c r="GJ71" s="377"/>
      <c r="GK71" s="377"/>
      <c r="GL71" s="377"/>
      <c r="GM71" s="377"/>
      <c r="GN71" s="377"/>
      <c r="GO71" s="377"/>
      <c r="GP71" s="377"/>
      <c r="GQ71" s="377"/>
      <c r="GR71" s="377"/>
      <c r="GS71" s="377"/>
    </row>
    <row r="72" spans="1:201">
      <c r="A72" s="808"/>
      <c r="B72" s="811"/>
      <c r="C72" s="814"/>
      <c r="D72" s="817"/>
      <c r="E72" s="819"/>
      <c r="F72" s="824"/>
      <c r="G72" s="825"/>
      <c r="H72" s="825"/>
      <c r="I72" s="825"/>
      <c r="J72" s="825"/>
      <c r="K72" s="826"/>
      <c r="L72" s="825"/>
      <c r="M72" s="825"/>
      <c r="N72" s="825"/>
      <c r="O72" s="825"/>
      <c r="P72" s="825"/>
      <c r="Q72" s="825"/>
      <c r="R72" s="824"/>
      <c r="S72" s="825"/>
      <c r="T72" s="825"/>
      <c r="U72" s="825"/>
      <c r="V72" s="825"/>
      <c r="W72" s="826"/>
      <c r="X72" s="825"/>
      <c r="Y72" s="825"/>
      <c r="Z72" s="825"/>
      <c r="AA72" s="825"/>
      <c r="AB72" s="825"/>
      <c r="AC72" s="825"/>
      <c r="AD72" s="824">
        <v>0.5</v>
      </c>
      <c r="AE72" s="825"/>
      <c r="AF72" s="825"/>
      <c r="AG72" s="825"/>
      <c r="AH72" s="825"/>
      <c r="AI72" s="825"/>
      <c r="AJ72" s="825">
        <v>0.5</v>
      </c>
      <c r="AK72" s="825"/>
      <c r="AL72" s="825"/>
      <c r="AM72" s="825"/>
      <c r="AN72" s="825"/>
      <c r="AO72" s="827"/>
      <c r="AP72" s="517"/>
      <c r="AQ72" s="377"/>
      <c r="AR72" s="377"/>
      <c r="AS72" s="377"/>
      <c r="AT72" s="377"/>
      <c r="AU72" s="377"/>
      <c r="AV72" s="377"/>
      <c r="AW72" s="377"/>
      <c r="AX72" s="377"/>
      <c r="AY72" s="377"/>
      <c r="AZ72" s="377"/>
      <c r="BA72" s="377"/>
      <c r="BB72" s="377"/>
      <c r="BC72" s="377"/>
      <c r="BD72" s="377"/>
      <c r="BE72" s="377"/>
      <c r="BF72" s="377"/>
      <c r="BG72" s="377"/>
      <c r="BH72" s="377"/>
      <c r="BI72" s="377"/>
      <c r="BJ72" s="377"/>
      <c r="BK72" s="377"/>
      <c r="BL72" s="377"/>
      <c r="BM72" s="377"/>
      <c r="BN72" s="377"/>
      <c r="BO72" s="377"/>
      <c r="BP72" s="377"/>
      <c r="BQ72" s="377"/>
      <c r="BR72" s="377"/>
      <c r="BS72" s="377"/>
      <c r="BT72" s="377"/>
      <c r="BU72" s="377"/>
      <c r="BV72" s="377"/>
      <c r="BW72" s="377"/>
      <c r="BX72" s="377"/>
      <c r="BY72" s="377"/>
      <c r="BZ72" s="377"/>
      <c r="CA72" s="377"/>
      <c r="CB72" s="377"/>
      <c r="CC72" s="377"/>
      <c r="CD72" s="377"/>
      <c r="CE72" s="377"/>
      <c r="CF72" s="377"/>
      <c r="CG72" s="377"/>
      <c r="CH72" s="377"/>
      <c r="CI72" s="377"/>
      <c r="CJ72" s="377"/>
      <c r="CK72" s="377"/>
      <c r="CL72" s="377"/>
      <c r="CM72" s="377"/>
      <c r="CN72" s="377"/>
      <c r="CO72" s="377"/>
      <c r="CP72" s="377"/>
      <c r="CQ72" s="377"/>
      <c r="CR72" s="377"/>
      <c r="CS72" s="377"/>
      <c r="CT72" s="377"/>
      <c r="CU72" s="377"/>
      <c r="CV72" s="377"/>
      <c r="CW72" s="377"/>
      <c r="CX72" s="377"/>
      <c r="CY72" s="377"/>
      <c r="CZ72" s="377"/>
      <c r="DA72" s="377"/>
      <c r="DB72" s="377"/>
      <c r="DC72" s="377"/>
      <c r="DD72" s="377"/>
      <c r="DE72" s="377"/>
      <c r="DF72" s="377"/>
      <c r="DG72" s="377"/>
      <c r="DH72" s="377"/>
      <c r="DI72" s="377"/>
      <c r="DJ72" s="377"/>
      <c r="DK72" s="377"/>
      <c r="DL72" s="377"/>
      <c r="DM72" s="377"/>
      <c r="DN72" s="377"/>
      <c r="DO72" s="377"/>
      <c r="DP72" s="377"/>
      <c r="DQ72" s="377"/>
      <c r="DR72" s="377"/>
      <c r="DS72" s="377"/>
      <c r="DT72" s="377"/>
      <c r="DU72" s="377"/>
      <c r="DV72" s="377"/>
      <c r="DW72" s="377"/>
      <c r="DX72" s="377"/>
      <c r="DY72" s="377"/>
      <c r="DZ72" s="377"/>
      <c r="EA72" s="377"/>
      <c r="EB72" s="377"/>
      <c r="EC72" s="377"/>
      <c r="ED72" s="377"/>
      <c r="EE72" s="377"/>
      <c r="EF72" s="377"/>
      <c r="EG72" s="377"/>
      <c r="EH72" s="377"/>
      <c r="EI72" s="377"/>
      <c r="EJ72" s="377"/>
      <c r="EK72" s="377"/>
      <c r="EL72" s="377"/>
      <c r="EM72" s="377"/>
      <c r="EN72" s="377"/>
      <c r="EO72" s="377"/>
      <c r="EP72" s="377"/>
      <c r="EQ72" s="377"/>
      <c r="ER72" s="377"/>
      <c r="ES72" s="377"/>
      <c r="ET72" s="377"/>
      <c r="EU72" s="377"/>
      <c r="EV72" s="377"/>
      <c r="EW72" s="377"/>
      <c r="EX72" s="377"/>
      <c r="EY72" s="377"/>
      <c r="EZ72" s="377"/>
      <c r="FA72" s="377"/>
      <c r="FB72" s="377"/>
      <c r="FC72" s="377"/>
      <c r="FD72" s="377"/>
      <c r="FE72" s="377"/>
      <c r="FF72" s="377"/>
      <c r="FG72" s="377"/>
      <c r="FH72" s="377"/>
      <c r="FI72" s="377"/>
      <c r="FJ72" s="377"/>
      <c r="FK72" s="377"/>
      <c r="FL72" s="377"/>
      <c r="FM72" s="377"/>
      <c r="FN72" s="377"/>
      <c r="FO72" s="377"/>
      <c r="FP72" s="377"/>
      <c r="FQ72" s="377"/>
      <c r="FR72" s="377"/>
      <c r="FS72" s="377"/>
      <c r="FT72" s="377"/>
      <c r="FU72" s="377"/>
      <c r="FV72" s="377"/>
      <c r="FW72" s="377"/>
      <c r="FX72" s="377"/>
      <c r="FY72" s="377"/>
      <c r="FZ72" s="377"/>
      <c r="GA72" s="377"/>
      <c r="GB72" s="377"/>
      <c r="GC72" s="377"/>
      <c r="GD72" s="377"/>
      <c r="GE72" s="377"/>
      <c r="GF72" s="377"/>
      <c r="GG72" s="377"/>
      <c r="GH72" s="377"/>
      <c r="GI72" s="377"/>
      <c r="GJ72" s="377"/>
      <c r="GK72" s="377"/>
      <c r="GL72" s="377"/>
      <c r="GM72" s="377"/>
      <c r="GN72" s="377"/>
      <c r="GO72" s="377"/>
      <c r="GP72" s="377"/>
      <c r="GQ72" s="377"/>
      <c r="GR72" s="377"/>
      <c r="GS72" s="377"/>
    </row>
    <row r="73" spans="1:201">
      <c r="A73" s="872">
        <f>'PLANILHA ORÇAMENTARIA'!A380</f>
        <v>21</v>
      </c>
      <c r="B73" s="905" t="str">
        <f>'PLANILHA ORÇAMENTARIA'!B380</f>
        <v>AR CONDICIONADO</v>
      </c>
      <c r="C73" s="899"/>
      <c r="D73" s="880">
        <f>'PLANILHA ORÇAMENTARIA'!F380</f>
        <v>30033.42</v>
      </c>
      <c r="E73" s="883">
        <f>D73/$D$82</f>
        <v>8.7714427684040235E-3</v>
      </c>
      <c r="F73" s="885">
        <f>$D$73*F75</f>
        <v>0</v>
      </c>
      <c r="G73" s="830"/>
      <c r="H73" s="830"/>
      <c r="I73" s="830"/>
      <c r="J73" s="830"/>
      <c r="K73" s="886"/>
      <c r="L73" s="830">
        <f>$D$73*L75</f>
        <v>0</v>
      </c>
      <c r="M73" s="830"/>
      <c r="N73" s="830"/>
      <c r="O73" s="830"/>
      <c r="P73" s="830"/>
      <c r="Q73" s="830"/>
      <c r="R73" s="885">
        <f>$D$73*R75</f>
        <v>0</v>
      </c>
      <c r="S73" s="830"/>
      <c r="T73" s="830"/>
      <c r="U73" s="830"/>
      <c r="V73" s="830"/>
      <c r="W73" s="886"/>
      <c r="X73" s="830">
        <f>$D$73*X75</f>
        <v>0</v>
      </c>
      <c r="Y73" s="830"/>
      <c r="Z73" s="830"/>
      <c r="AA73" s="830"/>
      <c r="AB73" s="830"/>
      <c r="AC73" s="830"/>
      <c r="AD73" s="885">
        <f>$D$73*AD75</f>
        <v>0</v>
      </c>
      <c r="AE73" s="830"/>
      <c r="AF73" s="830"/>
      <c r="AG73" s="830"/>
      <c r="AH73" s="830"/>
      <c r="AI73" s="830"/>
      <c r="AJ73" s="830">
        <f>$D$73*AJ75</f>
        <v>30033.42</v>
      </c>
      <c r="AK73" s="830"/>
      <c r="AL73" s="830"/>
      <c r="AM73" s="830"/>
      <c r="AN73" s="830"/>
      <c r="AO73" s="831"/>
      <c r="AP73" s="520"/>
      <c r="AQ73" s="377"/>
      <c r="AR73" s="377"/>
      <c r="AS73" s="377"/>
      <c r="AT73" s="377"/>
      <c r="AU73" s="377"/>
      <c r="AV73" s="377"/>
      <c r="AW73" s="377"/>
      <c r="AX73" s="377"/>
      <c r="AY73" s="377"/>
      <c r="AZ73" s="377"/>
      <c r="BA73" s="377"/>
      <c r="BB73" s="377"/>
      <c r="BC73" s="377"/>
      <c r="BD73" s="377"/>
      <c r="BE73" s="377"/>
      <c r="BF73" s="377"/>
      <c r="BG73" s="377"/>
      <c r="BH73" s="377"/>
      <c r="BI73" s="377"/>
      <c r="BJ73" s="377"/>
      <c r="BK73" s="377"/>
      <c r="BL73" s="377"/>
      <c r="BM73" s="377"/>
      <c r="BN73" s="377"/>
      <c r="BO73" s="377"/>
      <c r="BP73" s="377"/>
      <c r="BQ73" s="377"/>
      <c r="BR73" s="377"/>
      <c r="BS73" s="377"/>
      <c r="BT73" s="377"/>
      <c r="BU73" s="377"/>
      <c r="BV73" s="377"/>
      <c r="BW73" s="377"/>
      <c r="BX73" s="377"/>
      <c r="BY73" s="377"/>
      <c r="BZ73" s="377"/>
      <c r="CA73" s="377"/>
      <c r="CB73" s="377"/>
      <c r="CC73" s="377"/>
      <c r="CD73" s="377"/>
      <c r="CE73" s="377"/>
      <c r="CF73" s="377"/>
      <c r="CG73" s="377"/>
      <c r="CH73" s="377"/>
      <c r="CI73" s="377"/>
      <c r="CJ73" s="377"/>
      <c r="CK73" s="377"/>
      <c r="CL73" s="377"/>
      <c r="CM73" s="377"/>
      <c r="CN73" s="377"/>
      <c r="CO73" s="377"/>
      <c r="CP73" s="377"/>
      <c r="CQ73" s="377"/>
      <c r="CR73" s="377"/>
      <c r="CS73" s="377"/>
      <c r="CT73" s="377"/>
      <c r="CU73" s="377"/>
      <c r="CV73" s="377"/>
      <c r="CW73" s="377"/>
      <c r="CX73" s="377"/>
      <c r="CY73" s="377"/>
      <c r="CZ73" s="377"/>
      <c r="DA73" s="377"/>
      <c r="DB73" s="377"/>
      <c r="DC73" s="377"/>
      <c r="DD73" s="377"/>
      <c r="DE73" s="377"/>
      <c r="DF73" s="377"/>
      <c r="DG73" s="377"/>
      <c r="DH73" s="377"/>
      <c r="DI73" s="377"/>
      <c r="DJ73" s="377"/>
      <c r="DK73" s="377"/>
      <c r="DL73" s="377"/>
      <c r="DM73" s="377"/>
      <c r="DN73" s="377"/>
      <c r="DO73" s="377"/>
      <c r="DP73" s="377"/>
      <c r="DQ73" s="377"/>
      <c r="DR73" s="377"/>
      <c r="DS73" s="377"/>
      <c r="DT73" s="377"/>
      <c r="DU73" s="377"/>
      <c r="DV73" s="377"/>
      <c r="DW73" s="377"/>
      <c r="DX73" s="377"/>
      <c r="DY73" s="377"/>
      <c r="DZ73" s="377"/>
      <c r="EA73" s="377"/>
      <c r="EB73" s="377"/>
      <c r="EC73" s="377"/>
      <c r="ED73" s="377"/>
      <c r="EE73" s="377"/>
      <c r="EF73" s="377"/>
      <c r="EG73" s="377"/>
      <c r="EH73" s="377"/>
      <c r="EI73" s="377"/>
      <c r="EJ73" s="377"/>
      <c r="EK73" s="377"/>
      <c r="EL73" s="377"/>
      <c r="EM73" s="377"/>
      <c r="EN73" s="377"/>
      <c r="EO73" s="377"/>
      <c r="EP73" s="377"/>
      <c r="EQ73" s="377"/>
      <c r="ER73" s="377"/>
      <c r="ES73" s="377"/>
      <c r="ET73" s="377"/>
      <c r="EU73" s="377"/>
      <c r="EV73" s="377"/>
      <c r="EW73" s="377"/>
      <c r="EX73" s="377"/>
      <c r="EY73" s="377"/>
      <c r="EZ73" s="377"/>
      <c r="FA73" s="377"/>
      <c r="FB73" s="377"/>
      <c r="FC73" s="377"/>
      <c r="FD73" s="377"/>
      <c r="FE73" s="377"/>
      <c r="FF73" s="377"/>
      <c r="FG73" s="377"/>
      <c r="FH73" s="377"/>
      <c r="FI73" s="377"/>
      <c r="FJ73" s="377"/>
      <c r="FK73" s="377"/>
      <c r="FL73" s="377"/>
      <c r="FM73" s="377"/>
      <c r="FN73" s="377"/>
      <c r="FO73" s="377"/>
      <c r="FP73" s="377"/>
      <c r="FQ73" s="377"/>
      <c r="FR73" s="377"/>
      <c r="FS73" s="377"/>
      <c r="FT73" s="377"/>
      <c r="FU73" s="377"/>
      <c r="FV73" s="377"/>
      <c r="FW73" s="377"/>
      <c r="FX73" s="377"/>
      <c r="FY73" s="377"/>
      <c r="FZ73" s="377"/>
      <c r="GA73" s="377"/>
      <c r="GB73" s="377"/>
      <c r="GC73" s="377"/>
      <c r="GD73" s="377"/>
      <c r="GE73" s="377"/>
      <c r="GF73" s="377"/>
      <c r="GG73" s="377"/>
      <c r="GH73" s="377"/>
      <c r="GI73" s="377"/>
      <c r="GJ73" s="377"/>
      <c r="GK73" s="377"/>
      <c r="GL73" s="377"/>
      <c r="GM73" s="377"/>
      <c r="GN73" s="377"/>
      <c r="GO73" s="377"/>
      <c r="GP73" s="377"/>
      <c r="GQ73" s="377"/>
      <c r="GR73" s="377"/>
      <c r="GS73" s="377"/>
    </row>
    <row r="74" spans="1:201" ht="5.0999999999999996" customHeight="1">
      <c r="A74" s="872"/>
      <c r="B74" s="905"/>
      <c r="C74" s="899"/>
      <c r="D74" s="880"/>
      <c r="E74" s="883"/>
      <c r="F74" s="718"/>
      <c r="G74" s="719"/>
      <c r="H74" s="719"/>
      <c r="I74" s="719"/>
      <c r="J74" s="719"/>
      <c r="K74" s="719"/>
      <c r="L74" s="720"/>
      <c r="M74" s="719"/>
      <c r="N74" s="719"/>
      <c r="O74" s="719"/>
      <c r="P74" s="719"/>
      <c r="Q74" s="721"/>
      <c r="R74" s="718"/>
      <c r="S74" s="719"/>
      <c r="T74" s="719"/>
      <c r="U74" s="719"/>
      <c r="V74" s="719"/>
      <c r="W74" s="719"/>
      <c r="X74" s="720"/>
      <c r="Y74" s="719"/>
      <c r="Z74" s="719"/>
      <c r="AA74" s="719"/>
      <c r="AB74" s="719"/>
      <c r="AC74" s="721"/>
      <c r="AD74" s="733"/>
      <c r="AE74" s="723"/>
      <c r="AF74" s="723"/>
      <c r="AG74" s="723"/>
      <c r="AH74" s="723"/>
      <c r="AI74" s="723"/>
      <c r="AJ74" s="722">
        <v>1</v>
      </c>
      <c r="AK74" s="723">
        <v>1</v>
      </c>
      <c r="AL74" s="723">
        <v>1</v>
      </c>
      <c r="AM74" s="723">
        <v>1</v>
      </c>
      <c r="AN74" s="723">
        <v>1</v>
      </c>
      <c r="AO74" s="724">
        <v>1</v>
      </c>
      <c r="AP74" s="517"/>
      <c r="AQ74" s="377"/>
      <c r="AR74" s="377"/>
      <c r="AS74" s="377"/>
      <c r="AT74" s="377"/>
      <c r="AU74" s="377"/>
      <c r="AV74" s="377"/>
      <c r="AW74" s="377"/>
      <c r="AX74" s="377"/>
      <c r="AY74" s="377"/>
      <c r="AZ74" s="377"/>
      <c r="BA74" s="377"/>
      <c r="BB74" s="377"/>
      <c r="BC74" s="377"/>
      <c r="BD74" s="377"/>
      <c r="BE74" s="377"/>
      <c r="BF74" s="377"/>
      <c r="BG74" s="377"/>
      <c r="BH74" s="377"/>
      <c r="BI74" s="377"/>
      <c r="BJ74" s="377"/>
      <c r="BK74" s="377"/>
      <c r="BL74" s="377"/>
      <c r="BM74" s="377"/>
      <c r="BN74" s="377"/>
      <c r="BO74" s="377"/>
      <c r="BP74" s="377"/>
      <c r="BQ74" s="377"/>
      <c r="BR74" s="377"/>
      <c r="BS74" s="377"/>
      <c r="BT74" s="377"/>
      <c r="BU74" s="377"/>
      <c r="BV74" s="377"/>
      <c r="BW74" s="377"/>
      <c r="BX74" s="377"/>
      <c r="BY74" s="377"/>
      <c r="BZ74" s="377"/>
      <c r="CA74" s="377"/>
      <c r="CB74" s="377"/>
      <c r="CC74" s="377"/>
      <c r="CD74" s="377"/>
      <c r="CE74" s="377"/>
      <c r="CF74" s="377"/>
      <c r="CG74" s="377"/>
      <c r="CH74" s="377"/>
      <c r="CI74" s="377"/>
      <c r="CJ74" s="377"/>
      <c r="CK74" s="377"/>
      <c r="CL74" s="377"/>
      <c r="CM74" s="377"/>
      <c r="CN74" s="377"/>
      <c r="CO74" s="377"/>
      <c r="CP74" s="377"/>
      <c r="CQ74" s="377"/>
      <c r="CR74" s="377"/>
      <c r="CS74" s="377"/>
      <c r="CT74" s="377"/>
      <c r="CU74" s="377"/>
      <c r="CV74" s="377"/>
      <c r="CW74" s="377"/>
      <c r="CX74" s="377"/>
      <c r="CY74" s="377"/>
      <c r="CZ74" s="377"/>
      <c r="DA74" s="377"/>
      <c r="DB74" s="377"/>
      <c r="DC74" s="377"/>
      <c r="DD74" s="377"/>
      <c r="DE74" s="377"/>
      <c r="DF74" s="377"/>
      <c r="DG74" s="377"/>
      <c r="DH74" s="377"/>
      <c r="DI74" s="377"/>
      <c r="DJ74" s="377"/>
      <c r="DK74" s="377"/>
      <c r="DL74" s="377"/>
      <c r="DM74" s="377"/>
      <c r="DN74" s="377"/>
      <c r="DO74" s="377"/>
      <c r="DP74" s="377"/>
      <c r="DQ74" s="377"/>
      <c r="DR74" s="377"/>
      <c r="DS74" s="377"/>
      <c r="DT74" s="377"/>
      <c r="DU74" s="377"/>
      <c r="DV74" s="377"/>
      <c r="DW74" s="377"/>
      <c r="DX74" s="377"/>
      <c r="DY74" s="377"/>
      <c r="DZ74" s="377"/>
      <c r="EA74" s="377"/>
      <c r="EB74" s="377"/>
      <c r="EC74" s="377"/>
      <c r="ED74" s="377"/>
      <c r="EE74" s="377"/>
      <c r="EF74" s="377"/>
      <c r="EG74" s="377"/>
      <c r="EH74" s="377"/>
      <c r="EI74" s="377"/>
      <c r="EJ74" s="377"/>
      <c r="EK74" s="377"/>
      <c r="EL74" s="377"/>
      <c r="EM74" s="377"/>
      <c r="EN74" s="377"/>
      <c r="EO74" s="377"/>
      <c r="EP74" s="377"/>
      <c r="EQ74" s="377"/>
      <c r="ER74" s="377"/>
      <c r="ES74" s="377"/>
      <c r="ET74" s="377"/>
      <c r="EU74" s="377"/>
      <c r="EV74" s="377"/>
      <c r="EW74" s="377"/>
      <c r="EX74" s="377"/>
      <c r="EY74" s="377"/>
      <c r="EZ74" s="377"/>
      <c r="FA74" s="377"/>
      <c r="FB74" s="377"/>
      <c r="FC74" s="377"/>
      <c r="FD74" s="377"/>
      <c r="FE74" s="377"/>
      <c r="FF74" s="377"/>
      <c r="FG74" s="377"/>
      <c r="FH74" s="377"/>
      <c r="FI74" s="377"/>
      <c r="FJ74" s="377"/>
      <c r="FK74" s="377"/>
      <c r="FL74" s="377"/>
      <c r="FM74" s="377"/>
      <c r="FN74" s="377"/>
      <c r="FO74" s="377"/>
      <c r="FP74" s="377"/>
      <c r="FQ74" s="377"/>
      <c r="FR74" s="377"/>
      <c r="FS74" s="377"/>
      <c r="FT74" s="377"/>
      <c r="FU74" s="377"/>
      <c r="FV74" s="377"/>
      <c r="FW74" s="377"/>
      <c r="FX74" s="377"/>
      <c r="FY74" s="377"/>
      <c r="FZ74" s="377"/>
      <c r="GA74" s="377"/>
      <c r="GB74" s="377"/>
      <c r="GC74" s="377"/>
      <c r="GD74" s="377"/>
      <c r="GE74" s="377"/>
      <c r="GF74" s="377"/>
      <c r="GG74" s="377"/>
      <c r="GH74" s="377"/>
      <c r="GI74" s="377"/>
      <c r="GJ74" s="377"/>
      <c r="GK74" s="377"/>
      <c r="GL74" s="377"/>
      <c r="GM74" s="377"/>
      <c r="GN74" s="377"/>
      <c r="GO74" s="377"/>
      <c r="GP74" s="377"/>
      <c r="GQ74" s="377"/>
      <c r="GR74" s="377"/>
      <c r="GS74" s="377"/>
    </row>
    <row r="75" spans="1:201">
      <c r="A75" s="913"/>
      <c r="B75" s="914"/>
      <c r="C75" s="915"/>
      <c r="D75" s="901"/>
      <c r="E75" s="884"/>
      <c r="F75" s="869"/>
      <c r="G75" s="828"/>
      <c r="H75" s="828"/>
      <c r="I75" s="828"/>
      <c r="J75" s="828"/>
      <c r="K75" s="870"/>
      <c r="L75" s="828"/>
      <c r="M75" s="828"/>
      <c r="N75" s="828"/>
      <c r="O75" s="828"/>
      <c r="P75" s="828"/>
      <c r="Q75" s="828"/>
      <c r="R75" s="869"/>
      <c r="S75" s="828"/>
      <c r="T75" s="828"/>
      <c r="U75" s="828"/>
      <c r="V75" s="828"/>
      <c r="W75" s="870"/>
      <c r="X75" s="828"/>
      <c r="Y75" s="828"/>
      <c r="Z75" s="828"/>
      <c r="AA75" s="828"/>
      <c r="AB75" s="828"/>
      <c r="AC75" s="828"/>
      <c r="AD75" s="869"/>
      <c r="AE75" s="828"/>
      <c r="AF75" s="828"/>
      <c r="AG75" s="828"/>
      <c r="AH75" s="828"/>
      <c r="AI75" s="828"/>
      <c r="AJ75" s="828">
        <v>1</v>
      </c>
      <c r="AK75" s="828"/>
      <c r="AL75" s="828"/>
      <c r="AM75" s="828"/>
      <c r="AN75" s="828"/>
      <c r="AO75" s="829"/>
      <c r="AP75" s="51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77"/>
      <c r="CG75" s="377"/>
      <c r="CH75" s="377"/>
      <c r="CI75" s="377"/>
      <c r="CJ75" s="377"/>
      <c r="CK75" s="377"/>
      <c r="CL75" s="377"/>
      <c r="CM75" s="377"/>
      <c r="CN75" s="377"/>
      <c r="CO75" s="377"/>
      <c r="CP75" s="377"/>
      <c r="CQ75" s="377"/>
      <c r="CR75" s="377"/>
      <c r="CS75" s="377"/>
      <c r="CT75" s="377"/>
      <c r="CU75" s="377"/>
      <c r="CV75" s="377"/>
      <c r="CW75" s="377"/>
      <c r="CX75" s="377"/>
      <c r="CY75" s="377"/>
      <c r="CZ75" s="377"/>
      <c r="DA75" s="377"/>
      <c r="DB75" s="377"/>
      <c r="DC75" s="377"/>
      <c r="DD75" s="377"/>
      <c r="DE75" s="377"/>
      <c r="DF75" s="377"/>
      <c r="DG75" s="377"/>
      <c r="DH75" s="377"/>
      <c r="DI75" s="377"/>
      <c r="DJ75" s="377"/>
      <c r="DK75" s="377"/>
      <c r="DL75" s="377"/>
      <c r="DM75" s="377"/>
      <c r="DN75" s="377"/>
      <c r="DO75" s="377"/>
      <c r="DP75" s="377"/>
      <c r="DQ75" s="377"/>
      <c r="DR75" s="377"/>
      <c r="DS75" s="377"/>
      <c r="DT75" s="377"/>
      <c r="DU75" s="377"/>
      <c r="DV75" s="377"/>
      <c r="DW75" s="377"/>
      <c r="DX75" s="377"/>
      <c r="DY75" s="377"/>
      <c r="DZ75" s="377"/>
      <c r="EA75" s="377"/>
      <c r="EB75" s="377"/>
      <c r="EC75" s="377"/>
      <c r="ED75" s="377"/>
      <c r="EE75" s="377"/>
      <c r="EF75" s="377"/>
      <c r="EG75" s="377"/>
      <c r="EH75" s="377"/>
      <c r="EI75" s="377"/>
      <c r="EJ75" s="377"/>
      <c r="EK75" s="377"/>
      <c r="EL75" s="377"/>
      <c r="EM75" s="377"/>
      <c r="EN75" s="377"/>
      <c r="EO75" s="377"/>
      <c r="EP75" s="377"/>
      <c r="EQ75" s="377"/>
      <c r="ER75" s="377"/>
      <c r="ES75" s="377"/>
      <c r="ET75" s="377"/>
      <c r="EU75" s="377"/>
      <c r="EV75" s="377"/>
      <c r="EW75" s="377"/>
      <c r="EX75" s="377"/>
      <c r="EY75" s="377"/>
      <c r="EZ75" s="377"/>
      <c r="FA75" s="377"/>
      <c r="FB75" s="377"/>
      <c r="FC75" s="377"/>
      <c r="FD75" s="377"/>
      <c r="FE75" s="377"/>
      <c r="FF75" s="377"/>
      <c r="FG75" s="377"/>
      <c r="FH75" s="377"/>
      <c r="FI75" s="377"/>
      <c r="FJ75" s="377"/>
      <c r="FK75" s="377"/>
      <c r="FL75" s="377"/>
      <c r="FM75" s="377"/>
      <c r="FN75" s="377"/>
      <c r="FO75" s="377"/>
      <c r="FP75" s="377"/>
      <c r="FQ75" s="377"/>
      <c r="FR75" s="377"/>
      <c r="FS75" s="377"/>
      <c r="FT75" s="377"/>
      <c r="FU75" s="377"/>
      <c r="FV75" s="377"/>
      <c r="FW75" s="377"/>
      <c r="FX75" s="377"/>
      <c r="FY75" s="377"/>
      <c r="FZ75" s="377"/>
      <c r="GA75" s="377"/>
      <c r="GB75" s="377"/>
      <c r="GC75" s="377"/>
      <c r="GD75" s="377"/>
      <c r="GE75" s="377"/>
      <c r="GF75" s="377"/>
      <c r="GG75" s="377"/>
      <c r="GH75" s="377"/>
      <c r="GI75" s="377"/>
      <c r="GJ75" s="377"/>
      <c r="GK75" s="377"/>
      <c r="GL75" s="377"/>
      <c r="GM75" s="377"/>
      <c r="GN75" s="377"/>
      <c r="GO75" s="377"/>
      <c r="GP75" s="377"/>
      <c r="GQ75" s="377"/>
      <c r="GR75" s="377"/>
      <c r="GS75" s="377"/>
    </row>
    <row r="76" spans="1:201">
      <c r="A76" s="806">
        <f>'PLANILHA ORÇAMENTARIA'!A385</f>
        <v>22</v>
      </c>
      <c r="B76" s="809" t="str">
        <f>'PLANILHA ORÇAMENTARIA'!B385</f>
        <v>EQUIPAMENTOS</v>
      </c>
      <c r="C76" s="812"/>
      <c r="D76" s="815">
        <f>'PLANILHA ORÇAMENTARIA'!F385</f>
        <v>145102.49</v>
      </c>
      <c r="E76" s="818">
        <f>D76/$D$82</f>
        <v>4.2378063723276169E-2</v>
      </c>
      <c r="F76" s="820">
        <f>$D$76*F78</f>
        <v>0</v>
      </c>
      <c r="G76" s="821"/>
      <c r="H76" s="821"/>
      <c r="I76" s="821"/>
      <c r="J76" s="821"/>
      <c r="K76" s="822"/>
      <c r="L76" s="821">
        <f>$D$76*L78</f>
        <v>0</v>
      </c>
      <c r="M76" s="821"/>
      <c r="N76" s="821"/>
      <c r="O76" s="821"/>
      <c r="P76" s="821"/>
      <c r="Q76" s="821"/>
      <c r="R76" s="820">
        <f>$D$76*R78</f>
        <v>0</v>
      </c>
      <c r="S76" s="821"/>
      <c r="T76" s="821"/>
      <c r="U76" s="821"/>
      <c r="V76" s="821"/>
      <c r="W76" s="822"/>
      <c r="X76" s="821">
        <f>$D$76*X78</f>
        <v>0</v>
      </c>
      <c r="Y76" s="821"/>
      <c r="Z76" s="821"/>
      <c r="AA76" s="821"/>
      <c r="AB76" s="821"/>
      <c r="AC76" s="821"/>
      <c r="AD76" s="820">
        <f>$D$76*AD78</f>
        <v>0</v>
      </c>
      <c r="AE76" s="821"/>
      <c r="AF76" s="821"/>
      <c r="AG76" s="821"/>
      <c r="AH76" s="821"/>
      <c r="AI76" s="821"/>
      <c r="AJ76" s="821">
        <f>$D$76*AJ78</f>
        <v>145102.49</v>
      </c>
      <c r="AK76" s="821"/>
      <c r="AL76" s="821"/>
      <c r="AM76" s="821"/>
      <c r="AN76" s="821"/>
      <c r="AO76" s="823"/>
      <c r="AP76" s="520"/>
      <c r="AQ76" s="377"/>
      <c r="AR76" s="377"/>
      <c r="AS76" s="377"/>
      <c r="AT76" s="377"/>
      <c r="AU76" s="377"/>
      <c r="AV76" s="377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7"/>
      <c r="BK76" s="377"/>
      <c r="BL76" s="377"/>
      <c r="BM76" s="377"/>
      <c r="BN76" s="377"/>
      <c r="BO76" s="377"/>
      <c r="BP76" s="377"/>
      <c r="BQ76" s="377"/>
      <c r="BR76" s="377"/>
      <c r="BS76" s="377"/>
      <c r="BT76" s="377"/>
      <c r="BU76" s="377"/>
      <c r="BV76" s="377"/>
      <c r="BW76" s="377"/>
      <c r="BX76" s="377"/>
      <c r="BY76" s="377"/>
      <c r="BZ76" s="377"/>
      <c r="CA76" s="377"/>
      <c r="CB76" s="377"/>
      <c r="CC76" s="377"/>
      <c r="CD76" s="377"/>
      <c r="CE76" s="377"/>
      <c r="CF76" s="377"/>
      <c r="CG76" s="377"/>
      <c r="CH76" s="377"/>
      <c r="CI76" s="377"/>
      <c r="CJ76" s="377"/>
      <c r="CK76" s="377"/>
      <c r="CL76" s="377"/>
      <c r="CM76" s="377"/>
      <c r="CN76" s="377"/>
      <c r="CO76" s="377"/>
      <c r="CP76" s="377"/>
      <c r="CQ76" s="377"/>
      <c r="CR76" s="377"/>
      <c r="CS76" s="377"/>
      <c r="CT76" s="377"/>
      <c r="CU76" s="377"/>
      <c r="CV76" s="377"/>
      <c r="CW76" s="377"/>
      <c r="CX76" s="377"/>
      <c r="CY76" s="377"/>
      <c r="CZ76" s="377"/>
      <c r="DA76" s="377"/>
      <c r="DB76" s="377"/>
      <c r="DC76" s="377"/>
      <c r="DD76" s="377"/>
      <c r="DE76" s="377"/>
      <c r="DF76" s="377"/>
      <c r="DG76" s="377"/>
      <c r="DH76" s="377"/>
      <c r="DI76" s="377"/>
      <c r="DJ76" s="377"/>
      <c r="DK76" s="377"/>
      <c r="DL76" s="377"/>
      <c r="DM76" s="377"/>
      <c r="DN76" s="377"/>
      <c r="DO76" s="377"/>
      <c r="DP76" s="377"/>
      <c r="DQ76" s="377"/>
      <c r="DR76" s="377"/>
      <c r="DS76" s="377"/>
      <c r="DT76" s="377"/>
      <c r="DU76" s="377"/>
      <c r="DV76" s="377"/>
      <c r="DW76" s="377"/>
      <c r="DX76" s="377"/>
      <c r="DY76" s="377"/>
      <c r="DZ76" s="377"/>
      <c r="EA76" s="377"/>
      <c r="EB76" s="377"/>
      <c r="EC76" s="377"/>
      <c r="ED76" s="377"/>
      <c r="EE76" s="377"/>
      <c r="EF76" s="377"/>
      <c r="EG76" s="377"/>
      <c r="EH76" s="377"/>
      <c r="EI76" s="377"/>
      <c r="EJ76" s="377"/>
      <c r="EK76" s="377"/>
      <c r="EL76" s="377"/>
      <c r="EM76" s="377"/>
      <c r="EN76" s="377"/>
      <c r="EO76" s="377"/>
      <c r="EP76" s="377"/>
      <c r="EQ76" s="377"/>
      <c r="ER76" s="377"/>
      <c r="ES76" s="377"/>
      <c r="ET76" s="377"/>
      <c r="EU76" s="377"/>
      <c r="EV76" s="377"/>
      <c r="EW76" s="377"/>
      <c r="EX76" s="377"/>
      <c r="EY76" s="377"/>
      <c r="EZ76" s="377"/>
      <c r="FA76" s="377"/>
      <c r="FB76" s="377"/>
      <c r="FC76" s="377"/>
      <c r="FD76" s="377"/>
      <c r="FE76" s="377"/>
      <c r="FF76" s="377"/>
      <c r="FG76" s="377"/>
      <c r="FH76" s="377"/>
      <c r="FI76" s="377"/>
      <c r="FJ76" s="377"/>
      <c r="FK76" s="377"/>
      <c r="FL76" s="377"/>
      <c r="FM76" s="377"/>
      <c r="FN76" s="377"/>
      <c r="FO76" s="377"/>
      <c r="FP76" s="377"/>
      <c r="FQ76" s="377"/>
      <c r="FR76" s="377"/>
      <c r="FS76" s="377"/>
      <c r="FT76" s="377"/>
      <c r="FU76" s="377"/>
      <c r="FV76" s="377"/>
      <c r="FW76" s="377"/>
      <c r="FX76" s="377"/>
      <c r="FY76" s="377"/>
      <c r="FZ76" s="377"/>
      <c r="GA76" s="377"/>
      <c r="GB76" s="377"/>
      <c r="GC76" s="377"/>
      <c r="GD76" s="377"/>
      <c r="GE76" s="377"/>
      <c r="GF76" s="377"/>
      <c r="GG76" s="377"/>
      <c r="GH76" s="377"/>
      <c r="GI76" s="377"/>
      <c r="GJ76" s="377"/>
      <c r="GK76" s="377"/>
      <c r="GL76" s="377"/>
      <c r="GM76" s="377"/>
      <c r="GN76" s="377"/>
      <c r="GO76" s="377"/>
      <c r="GP76" s="377"/>
      <c r="GQ76" s="377"/>
      <c r="GR76" s="377"/>
      <c r="GS76" s="377"/>
    </row>
    <row r="77" spans="1:201" ht="6" customHeight="1">
      <c r="A77" s="807"/>
      <c r="B77" s="810"/>
      <c r="C77" s="813"/>
      <c r="D77" s="816"/>
      <c r="E77" s="818"/>
      <c r="F77" s="725"/>
      <c r="G77" s="726"/>
      <c r="H77" s="726"/>
      <c r="I77" s="726"/>
      <c r="J77" s="726"/>
      <c r="K77" s="726"/>
      <c r="L77" s="727"/>
      <c r="M77" s="726"/>
      <c r="N77" s="726"/>
      <c r="O77" s="726"/>
      <c r="P77" s="726"/>
      <c r="Q77" s="728"/>
      <c r="R77" s="725"/>
      <c r="S77" s="726"/>
      <c r="T77" s="726"/>
      <c r="U77" s="726"/>
      <c r="V77" s="726"/>
      <c r="W77" s="726"/>
      <c r="X77" s="727"/>
      <c r="Y77" s="726"/>
      <c r="Z77" s="726"/>
      <c r="AA77" s="726"/>
      <c r="AB77" s="726"/>
      <c r="AC77" s="728"/>
      <c r="AD77" s="729"/>
      <c r="AE77" s="730"/>
      <c r="AF77" s="730"/>
      <c r="AG77" s="730"/>
      <c r="AH77" s="730"/>
      <c r="AI77" s="730"/>
      <c r="AJ77" s="731">
        <v>1</v>
      </c>
      <c r="AK77" s="730">
        <v>1</v>
      </c>
      <c r="AL77" s="730">
        <v>1</v>
      </c>
      <c r="AM77" s="730">
        <v>1</v>
      </c>
      <c r="AN77" s="730">
        <v>1</v>
      </c>
      <c r="AO77" s="732">
        <v>1</v>
      </c>
      <c r="AP77" s="517"/>
      <c r="AQ77" s="377"/>
      <c r="AR77" s="377"/>
      <c r="AS77" s="377"/>
      <c r="AT77" s="377"/>
      <c r="AU77" s="377"/>
      <c r="AV77" s="377"/>
      <c r="AW77" s="377"/>
      <c r="AX77" s="377"/>
      <c r="AY77" s="377"/>
      <c r="AZ77" s="377"/>
      <c r="BA77" s="377"/>
      <c r="BB77" s="377"/>
      <c r="BC77" s="377"/>
      <c r="BD77" s="377"/>
      <c r="BE77" s="377"/>
      <c r="BF77" s="377"/>
      <c r="BG77" s="377"/>
      <c r="BH77" s="377"/>
      <c r="BI77" s="377"/>
      <c r="BJ77" s="377"/>
      <c r="BK77" s="377"/>
      <c r="BL77" s="377"/>
      <c r="BM77" s="377"/>
      <c r="BN77" s="377"/>
      <c r="BO77" s="377"/>
      <c r="BP77" s="377"/>
      <c r="BQ77" s="377"/>
      <c r="BR77" s="377"/>
      <c r="BS77" s="377"/>
      <c r="BT77" s="377"/>
      <c r="BU77" s="377"/>
      <c r="BV77" s="377"/>
      <c r="BW77" s="377"/>
      <c r="BX77" s="377"/>
      <c r="BY77" s="377"/>
      <c r="BZ77" s="377"/>
      <c r="CA77" s="377"/>
      <c r="CB77" s="377"/>
      <c r="CC77" s="377"/>
      <c r="CD77" s="377"/>
      <c r="CE77" s="377"/>
      <c r="CF77" s="377"/>
      <c r="CG77" s="377"/>
      <c r="CH77" s="377"/>
      <c r="CI77" s="377"/>
      <c r="CJ77" s="377"/>
      <c r="CK77" s="377"/>
      <c r="CL77" s="377"/>
      <c r="CM77" s="377"/>
      <c r="CN77" s="377"/>
      <c r="CO77" s="377"/>
      <c r="CP77" s="377"/>
      <c r="CQ77" s="377"/>
      <c r="CR77" s="377"/>
      <c r="CS77" s="377"/>
      <c r="CT77" s="377"/>
      <c r="CU77" s="377"/>
      <c r="CV77" s="377"/>
      <c r="CW77" s="377"/>
      <c r="CX77" s="377"/>
      <c r="CY77" s="377"/>
      <c r="CZ77" s="377"/>
      <c r="DA77" s="377"/>
      <c r="DB77" s="377"/>
      <c r="DC77" s="377"/>
      <c r="DD77" s="377"/>
      <c r="DE77" s="377"/>
      <c r="DF77" s="377"/>
      <c r="DG77" s="377"/>
      <c r="DH77" s="377"/>
      <c r="DI77" s="377"/>
      <c r="DJ77" s="377"/>
      <c r="DK77" s="377"/>
      <c r="DL77" s="377"/>
      <c r="DM77" s="377"/>
      <c r="DN77" s="377"/>
      <c r="DO77" s="377"/>
      <c r="DP77" s="377"/>
      <c r="DQ77" s="377"/>
      <c r="DR77" s="377"/>
      <c r="DS77" s="377"/>
      <c r="DT77" s="377"/>
      <c r="DU77" s="377"/>
      <c r="DV77" s="377"/>
      <c r="DW77" s="377"/>
      <c r="DX77" s="377"/>
      <c r="DY77" s="377"/>
      <c r="DZ77" s="377"/>
      <c r="EA77" s="377"/>
      <c r="EB77" s="377"/>
      <c r="EC77" s="377"/>
      <c r="ED77" s="377"/>
      <c r="EE77" s="377"/>
      <c r="EF77" s="377"/>
      <c r="EG77" s="377"/>
      <c r="EH77" s="377"/>
      <c r="EI77" s="377"/>
      <c r="EJ77" s="377"/>
      <c r="EK77" s="377"/>
      <c r="EL77" s="377"/>
      <c r="EM77" s="377"/>
      <c r="EN77" s="377"/>
      <c r="EO77" s="377"/>
      <c r="EP77" s="377"/>
      <c r="EQ77" s="377"/>
      <c r="ER77" s="377"/>
      <c r="ES77" s="377"/>
      <c r="ET77" s="377"/>
      <c r="EU77" s="377"/>
      <c r="EV77" s="377"/>
      <c r="EW77" s="377"/>
      <c r="EX77" s="377"/>
      <c r="EY77" s="377"/>
      <c r="EZ77" s="377"/>
      <c r="FA77" s="377"/>
      <c r="FB77" s="377"/>
      <c r="FC77" s="377"/>
      <c r="FD77" s="377"/>
      <c r="FE77" s="377"/>
      <c r="FF77" s="377"/>
      <c r="FG77" s="377"/>
      <c r="FH77" s="377"/>
      <c r="FI77" s="377"/>
      <c r="FJ77" s="377"/>
      <c r="FK77" s="377"/>
      <c r="FL77" s="377"/>
      <c r="FM77" s="377"/>
      <c r="FN77" s="377"/>
      <c r="FO77" s="377"/>
      <c r="FP77" s="377"/>
      <c r="FQ77" s="377"/>
      <c r="FR77" s="377"/>
      <c r="FS77" s="377"/>
      <c r="FT77" s="377"/>
      <c r="FU77" s="377"/>
      <c r="FV77" s="377"/>
      <c r="FW77" s="377"/>
      <c r="FX77" s="377"/>
      <c r="FY77" s="377"/>
      <c r="FZ77" s="377"/>
      <c r="GA77" s="377"/>
      <c r="GB77" s="377"/>
      <c r="GC77" s="377"/>
      <c r="GD77" s="377"/>
      <c r="GE77" s="377"/>
      <c r="GF77" s="377"/>
      <c r="GG77" s="377"/>
      <c r="GH77" s="377"/>
      <c r="GI77" s="377"/>
      <c r="GJ77" s="377"/>
      <c r="GK77" s="377"/>
      <c r="GL77" s="377"/>
      <c r="GM77" s="377"/>
      <c r="GN77" s="377"/>
      <c r="GO77" s="377"/>
      <c r="GP77" s="377"/>
      <c r="GQ77" s="377"/>
      <c r="GR77" s="377"/>
      <c r="GS77" s="377"/>
    </row>
    <row r="78" spans="1:201">
      <c r="A78" s="808"/>
      <c r="B78" s="811"/>
      <c r="C78" s="814"/>
      <c r="D78" s="817"/>
      <c r="E78" s="819"/>
      <c r="F78" s="824"/>
      <c r="G78" s="825"/>
      <c r="H78" s="825"/>
      <c r="I78" s="825"/>
      <c r="J78" s="825"/>
      <c r="K78" s="826"/>
      <c r="L78" s="825"/>
      <c r="M78" s="825"/>
      <c r="N78" s="825"/>
      <c r="O78" s="825"/>
      <c r="P78" s="825"/>
      <c r="Q78" s="825"/>
      <c r="R78" s="824"/>
      <c r="S78" s="825"/>
      <c r="T78" s="825"/>
      <c r="U78" s="825"/>
      <c r="V78" s="825"/>
      <c r="W78" s="826"/>
      <c r="X78" s="825"/>
      <c r="Y78" s="825"/>
      <c r="Z78" s="825"/>
      <c r="AA78" s="825"/>
      <c r="AB78" s="825"/>
      <c r="AC78" s="825"/>
      <c r="AD78" s="824"/>
      <c r="AE78" s="825"/>
      <c r="AF78" s="825"/>
      <c r="AG78" s="825"/>
      <c r="AH78" s="825"/>
      <c r="AI78" s="825"/>
      <c r="AJ78" s="825">
        <v>1</v>
      </c>
      <c r="AK78" s="825"/>
      <c r="AL78" s="825"/>
      <c r="AM78" s="825"/>
      <c r="AN78" s="825"/>
      <c r="AO78" s="827"/>
      <c r="AP78" s="517"/>
      <c r="AQ78" s="377"/>
      <c r="AR78" s="377"/>
      <c r="AS78" s="377"/>
      <c r="AT78" s="377"/>
      <c r="AU78" s="377"/>
      <c r="AV78" s="377"/>
      <c r="AW78" s="377"/>
      <c r="AX78" s="377"/>
      <c r="AY78" s="377"/>
      <c r="AZ78" s="377"/>
      <c r="BA78" s="377"/>
      <c r="BB78" s="377"/>
      <c r="BC78" s="377"/>
      <c r="BD78" s="377"/>
      <c r="BE78" s="377"/>
      <c r="BF78" s="377"/>
      <c r="BG78" s="377"/>
      <c r="BH78" s="377"/>
      <c r="BI78" s="377"/>
      <c r="BJ78" s="377"/>
      <c r="BK78" s="377"/>
      <c r="BL78" s="377"/>
      <c r="BM78" s="377"/>
      <c r="BN78" s="377"/>
      <c r="BO78" s="377"/>
      <c r="BP78" s="377"/>
      <c r="BQ78" s="377"/>
      <c r="BR78" s="377"/>
      <c r="BS78" s="377"/>
      <c r="BT78" s="377"/>
      <c r="BU78" s="377"/>
      <c r="BV78" s="377"/>
      <c r="BW78" s="377"/>
      <c r="BX78" s="377"/>
      <c r="BY78" s="377"/>
      <c r="BZ78" s="377"/>
      <c r="CA78" s="377"/>
      <c r="CB78" s="377"/>
      <c r="CC78" s="377"/>
      <c r="CD78" s="377"/>
      <c r="CE78" s="377"/>
      <c r="CF78" s="377"/>
      <c r="CG78" s="377"/>
      <c r="CH78" s="377"/>
      <c r="CI78" s="377"/>
      <c r="CJ78" s="377"/>
      <c r="CK78" s="377"/>
      <c r="CL78" s="377"/>
      <c r="CM78" s="377"/>
      <c r="CN78" s="377"/>
      <c r="CO78" s="377"/>
      <c r="CP78" s="377"/>
      <c r="CQ78" s="377"/>
      <c r="CR78" s="377"/>
      <c r="CS78" s="377"/>
      <c r="CT78" s="377"/>
      <c r="CU78" s="377"/>
      <c r="CV78" s="377"/>
      <c r="CW78" s="377"/>
      <c r="CX78" s="377"/>
      <c r="CY78" s="377"/>
      <c r="CZ78" s="377"/>
      <c r="DA78" s="377"/>
      <c r="DB78" s="377"/>
      <c r="DC78" s="377"/>
      <c r="DD78" s="377"/>
      <c r="DE78" s="377"/>
      <c r="DF78" s="377"/>
      <c r="DG78" s="377"/>
      <c r="DH78" s="377"/>
      <c r="DI78" s="377"/>
      <c r="DJ78" s="377"/>
      <c r="DK78" s="377"/>
      <c r="DL78" s="377"/>
      <c r="DM78" s="377"/>
      <c r="DN78" s="377"/>
      <c r="DO78" s="377"/>
      <c r="DP78" s="377"/>
      <c r="DQ78" s="377"/>
      <c r="DR78" s="377"/>
      <c r="DS78" s="377"/>
      <c r="DT78" s="377"/>
      <c r="DU78" s="377"/>
      <c r="DV78" s="377"/>
      <c r="DW78" s="377"/>
      <c r="DX78" s="377"/>
      <c r="DY78" s="377"/>
      <c r="DZ78" s="377"/>
      <c r="EA78" s="377"/>
      <c r="EB78" s="377"/>
      <c r="EC78" s="377"/>
      <c r="ED78" s="377"/>
      <c r="EE78" s="377"/>
      <c r="EF78" s="377"/>
      <c r="EG78" s="377"/>
      <c r="EH78" s="377"/>
      <c r="EI78" s="377"/>
      <c r="EJ78" s="377"/>
      <c r="EK78" s="377"/>
      <c r="EL78" s="377"/>
      <c r="EM78" s="377"/>
      <c r="EN78" s="377"/>
      <c r="EO78" s="377"/>
      <c r="EP78" s="377"/>
      <c r="EQ78" s="377"/>
      <c r="ER78" s="377"/>
      <c r="ES78" s="377"/>
      <c r="ET78" s="377"/>
      <c r="EU78" s="377"/>
      <c r="EV78" s="377"/>
      <c r="EW78" s="377"/>
      <c r="EX78" s="377"/>
      <c r="EY78" s="377"/>
      <c r="EZ78" s="377"/>
      <c r="FA78" s="377"/>
      <c r="FB78" s="377"/>
      <c r="FC78" s="377"/>
      <c r="FD78" s="377"/>
      <c r="FE78" s="377"/>
      <c r="FF78" s="377"/>
      <c r="FG78" s="377"/>
      <c r="FH78" s="377"/>
      <c r="FI78" s="377"/>
      <c r="FJ78" s="377"/>
      <c r="FK78" s="377"/>
      <c r="FL78" s="377"/>
      <c r="FM78" s="377"/>
      <c r="FN78" s="377"/>
      <c r="FO78" s="377"/>
      <c r="FP78" s="377"/>
      <c r="FQ78" s="377"/>
      <c r="FR78" s="377"/>
      <c r="FS78" s="377"/>
      <c r="FT78" s="377"/>
      <c r="FU78" s="377"/>
      <c r="FV78" s="377"/>
      <c r="FW78" s="377"/>
      <c r="FX78" s="377"/>
      <c r="FY78" s="377"/>
      <c r="FZ78" s="377"/>
      <c r="GA78" s="377"/>
      <c r="GB78" s="377"/>
      <c r="GC78" s="377"/>
      <c r="GD78" s="377"/>
      <c r="GE78" s="377"/>
      <c r="GF78" s="377"/>
      <c r="GG78" s="377"/>
      <c r="GH78" s="377"/>
      <c r="GI78" s="377"/>
      <c r="GJ78" s="377"/>
      <c r="GK78" s="377"/>
      <c r="GL78" s="377"/>
      <c r="GM78" s="377"/>
      <c r="GN78" s="377"/>
      <c r="GO78" s="377"/>
      <c r="GP78" s="377"/>
      <c r="GQ78" s="377"/>
      <c r="GR78" s="377"/>
      <c r="GS78" s="377"/>
    </row>
    <row r="79" spans="1:201">
      <c r="A79" s="806">
        <f>'PLANILHA ORÇAMENTARIA'!A393</f>
        <v>23</v>
      </c>
      <c r="B79" s="809" t="str">
        <f>'PLANILHA ORÇAMENTARIA'!B393</f>
        <v>ÁREAS EXTERNAS</v>
      </c>
      <c r="C79" s="812"/>
      <c r="D79" s="815">
        <f>'PLANILHA ORÇAMENTARIA'!F393</f>
        <v>42449.72</v>
      </c>
      <c r="E79" s="818">
        <f>D79/$D$82</f>
        <v>1.2397698614236263E-2</v>
      </c>
      <c r="F79" s="820">
        <f>$D$79*F81</f>
        <v>0</v>
      </c>
      <c r="G79" s="821"/>
      <c r="H79" s="821"/>
      <c r="I79" s="821"/>
      <c r="J79" s="821"/>
      <c r="K79" s="822"/>
      <c r="L79" s="821">
        <f>$D$79*L81</f>
        <v>0</v>
      </c>
      <c r="M79" s="821"/>
      <c r="N79" s="821"/>
      <c r="O79" s="821"/>
      <c r="P79" s="821"/>
      <c r="Q79" s="821"/>
      <c r="R79" s="820">
        <f>$D$79*R81</f>
        <v>4244.9720000000007</v>
      </c>
      <c r="S79" s="821"/>
      <c r="T79" s="821"/>
      <c r="U79" s="821"/>
      <c r="V79" s="821"/>
      <c r="W79" s="822"/>
      <c r="X79" s="821">
        <f>$D$79*X81</f>
        <v>29714.804</v>
      </c>
      <c r="Y79" s="821"/>
      <c r="Z79" s="821"/>
      <c r="AA79" s="821"/>
      <c r="AB79" s="821"/>
      <c r="AC79" s="821"/>
      <c r="AD79" s="820">
        <f>$D$79*AD81</f>
        <v>8489.9440000000013</v>
      </c>
      <c r="AE79" s="821"/>
      <c r="AF79" s="821"/>
      <c r="AG79" s="821"/>
      <c r="AH79" s="821"/>
      <c r="AI79" s="821"/>
      <c r="AJ79" s="821">
        <f>$D$79*AJ81</f>
        <v>0</v>
      </c>
      <c r="AK79" s="821"/>
      <c r="AL79" s="821"/>
      <c r="AM79" s="821"/>
      <c r="AN79" s="821"/>
      <c r="AO79" s="823"/>
      <c r="AP79" s="520"/>
      <c r="AQ79" s="377"/>
      <c r="AR79" s="377"/>
      <c r="AS79" s="377"/>
      <c r="AT79" s="377"/>
      <c r="AU79" s="377"/>
      <c r="AV79" s="377"/>
      <c r="AW79" s="377"/>
      <c r="AX79" s="377"/>
      <c r="AY79" s="377"/>
      <c r="AZ79" s="377"/>
      <c r="BA79" s="377"/>
      <c r="BB79" s="377"/>
      <c r="BC79" s="377"/>
      <c r="BD79" s="377"/>
      <c r="BE79" s="377"/>
      <c r="BF79" s="377"/>
      <c r="BG79" s="377"/>
      <c r="BH79" s="377"/>
      <c r="BI79" s="377"/>
      <c r="BJ79" s="377"/>
      <c r="BK79" s="377"/>
      <c r="BL79" s="377"/>
      <c r="BM79" s="377"/>
      <c r="BN79" s="377"/>
      <c r="BO79" s="377"/>
      <c r="BP79" s="377"/>
      <c r="BQ79" s="377"/>
      <c r="BR79" s="377"/>
      <c r="BS79" s="377"/>
      <c r="BT79" s="377"/>
      <c r="BU79" s="377"/>
      <c r="BV79" s="377"/>
      <c r="BW79" s="377"/>
      <c r="BX79" s="377"/>
      <c r="BY79" s="377"/>
      <c r="BZ79" s="377"/>
      <c r="CA79" s="377"/>
      <c r="CB79" s="377"/>
      <c r="CC79" s="377"/>
      <c r="CD79" s="377"/>
      <c r="CE79" s="377"/>
      <c r="CF79" s="377"/>
      <c r="CG79" s="377"/>
      <c r="CH79" s="377"/>
      <c r="CI79" s="377"/>
      <c r="CJ79" s="377"/>
      <c r="CK79" s="377"/>
      <c r="CL79" s="377"/>
      <c r="CM79" s="377"/>
      <c r="CN79" s="377"/>
      <c r="CO79" s="377"/>
      <c r="CP79" s="377"/>
      <c r="CQ79" s="377"/>
      <c r="CR79" s="377"/>
      <c r="CS79" s="377"/>
      <c r="CT79" s="377"/>
      <c r="CU79" s="377"/>
      <c r="CV79" s="377"/>
      <c r="CW79" s="377"/>
      <c r="CX79" s="377"/>
      <c r="CY79" s="377"/>
      <c r="CZ79" s="377"/>
      <c r="DA79" s="377"/>
      <c r="DB79" s="377"/>
      <c r="DC79" s="377"/>
      <c r="DD79" s="377"/>
      <c r="DE79" s="377"/>
      <c r="DF79" s="377"/>
      <c r="DG79" s="377"/>
      <c r="DH79" s="377"/>
      <c r="DI79" s="377"/>
      <c r="DJ79" s="377"/>
      <c r="DK79" s="377"/>
      <c r="DL79" s="377"/>
      <c r="DM79" s="377"/>
      <c r="DN79" s="377"/>
      <c r="DO79" s="377"/>
      <c r="DP79" s="377"/>
      <c r="DQ79" s="377"/>
      <c r="DR79" s="377"/>
      <c r="DS79" s="377"/>
      <c r="DT79" s="377"/>
      <c r="DU79" s="377"/>
      <c r="DV79" s="377"/>
      <c r="DW79" s="377"/>
      <c r="DX79" s="377"/>
      <c r="DY79" s="377"/>
      <c r="DZ79" s="377"/>
      <c r="EA79" s="377"/>
      <c r="EB79" s="377"/>
      <c r="EC79" s="377"/>
      <c r="ED79" s="377"/>
      <c r="EE79" s="377"/>
      <c r="EF79" s="377"/>
      <c r="EG79" s="377"/>
      <c r="EH79" s="377"/>
      <c r="EI79" s="377"/>
      <c r="EJ79" s="377"/>
      <c r="EK79" s="377"/>
      <c r="EL79" s="377"/>
      <c r="EM79" s="377"/>
      <c r="EN79" s="377"/>
      <c r="EO79" s="377"/>
      <c r="EP79" s="377"/>
      <c r="EQ79" s="377"/>
      <c r="ER79" s="377"/>
      <c r="ES79" s="377"/>
      <c r="ET79" s="377"/>
      <c r="EU79" s="377"/>
      <c r="EV79" s="377"/>
      <c r="EW79" s="377"/>
      <c r="EX79" s="377"/>
      <c r="EY79" s="377"/>
      <c r="EZ79" s="377"/>
      <c r="FA79" s="377"/>
      <c r="FB79" s="377"/>
      <c r="FC79" s="377"/>
      <c r="FD79" s="377"/>
      <c r="FE79" s="377"/>
      <c r="FF79" s="377"/>
      <c r="FG79" s="377"/>
      <c r="FH79" s="377"/>
      <c r="FI79" s="377"/>
      <c r="FJ79" s="377"/>
      <c r="FK79" s="377"/>
      <c r="FL79" s="377"/>
      <c r="FM79" s="377"/>
      <c r="FN79" s="377"/>
      <c r="FO79" s="377"/>
      <c r="FP79" s="377"/>
      <c r="FQ79" s="377"/>
      <c r="FR79" s="377"/>
      <c r="FS79" s="377"/>
      <c r="FT79" s="377"/>
      <c r="FU79" s="377"/>
      <c r="FV79" s="377"/>
      <c r="FW79" s="377"/>
      <c r="FX79" s="377"/>
      <c r="FY79" s="377"/>
      <c r="FZ79" s="377"/>
      <c r="GA79" s="377"/>
      <c r="GB79" s="377"/>
      <c r="GC79" s="377"/>
      <c r="GD79" s="377"/>
      <c r="GE79" s="377"/>
      <c r="GF79" s="377"/>
      <c r="GG79" s="377"/>
      <c r="GH79" s="377"/>
      <c r="GI79" s="377"/>
      <c r="GJ79" s="377"/>
      <c r="GK79" s="377"/>
      <c r="GL79" s="377"/>
      <c r="GM79" s="377"/>
      <c r="GN79" s="377"/>
      <c r="GO79" s="377"/>
      <c r="GP79" s="377"/>
      <c r="GQ79" s="377"/>
      <c r="GR79" s="377"/>
      <c r="GS79" s="377"/>
    </row>
    <row r="80" spans="1:201" ht="6" customHeight="1">
      <c r="A80" s="807"/>
      <c r="B80" s="810"/>
      <c r="C80" s="813"/>
      <c r="D80" s="816"/>
      <c r="E80" s="818"/>
      <c r="F80" s="725"/>
      <c r="G80" s="726"/>
      <c r="H80" s="726"/>
      <c r="I80" s="726"/>
      <c r="J80" s="726"/>
      <c r="K80" s="726"/>
      <c r="L80" s="727"/>
      <c r="M80" s="726"/>
      <c r="N80" s="726"/>
      <c r="O80" s="726"/>
      <c r="P80" s="726"/>
      <c r="Q80" s="728"/>
      <c r="R80" s="725">
        <v>1</v>
      </c>
      <c r="S80" s="726">
        <v>1</v>
      </c>
      <c r="T80" s="726">
        <v>1</v>
      </c>
      <c r="U80" s="726">
        <v>1</v>
      </c>
      <c r="V80" s="726">
        <v>1</v>
      </c>
      <c r="W80" s="726">
        <v>1</v>
      </c>
      <c r="X80" s="727">
        <v>1</v>
      </c>
      <c r="Y80" s="726">
        <v>1</v>
      </c>
      <c r="Z80" s="726">
        <v>1</v>
      </c>
      <c r="AA80" s="726">
        <v>1</v>
      </c>
      <c r="AB80" s="726">
        <v>1</v>
      </c>
      <c r="AC80" s="728">
        <v>1</v>
      </c>
      <c r="AD80" s="729">
        <v>1</v>
      </c>
      <c r="AE80" s="730">
        <v>1</v>
      </c>
      <c r="AF80" s="730">
        <v>1</v>
      </c>
      <c r="AG80" s="730">
        <v>1</v>
      </c>
      <c r="AH80" s="730">
        <v>1</v>
      </c>
      <c r="AI80" s="730">
        <v>1</v>
      </c>
      <c r="AJ80" s="731"/>
      <c r="AK80" s="730"/>
      <c r="AL80" s="730"/>
      <c r="AM80" s="730"/>
      <c r="AN80" s="730"/>
      <c r="AO80" s="732"/>
      <c r="AP80" s="517"/>
      <c r="AQ80" s="377"/>
      <c r="AR80" s="377"/>
      <c r="AS80" s="377"/>
      <c r="AT80" s="377"/>
      <c r="AU80" s="377"/>
      <c r="AV80" s="377"/>
      <c r="AW80" s="377"/>
      <c r="AX80" s="377"/>
      <c r="AY80" s="377"/>
      <c r="AZ80" s="377"/>
      <c r="BA80" s="377"/>
      <c r="BB80" s="377"/>
      <c r="BC80" s="377"/>
      <c r="BD80" s="377"/>
      <c r="BE80" s="377"/>
      <c r="BF80" s="377"/>
      <c r="BG80" s="377"/>
      <c r="BH80" s="377"/>
      <c r="BI80" s="377"/>
      <c r="BJ80" s="377"/>
      <c r="BK80" s="377"/>
      <c r="BL80" s="377"/>
      <c r="BM80" s="377"/>
      <c r="BN80" s="377"/>
      <c r="BO80" s="377"/>
      <c r="BP80" s="377"/>
      <c r="BQ80" s="377"/>
      <c r="BR80" s="377"/>
      <c r="BS80" s="377"/>
      <c r="BT80" s="377"/>
      <c r="BU80" s="377"/>
      <c r="BV80" s="377"/>
      <c r="BW80" s="377"/>
      <c r="BX80" s="377"/>
      <c r="BY80" s="377"/>
      <c r="BZ80" s="377"/>
      <c r="CA80" s="377"/>
      <c r="CB80" s="377"/>
      <c r="CC80" s="377"/>
      <c r="CD80" s="377"/>
      <c r="CE80" s="377"/>
      <c r="CF80" s="377"/>
      <c r="CG80" s="377"/>
      <c r="CH80" s="377"/>
      <c r="CI80" s="377"/>
      <c r="CJ80" s="377"/>
      <c r="CK80" s="377"/>
      <c r="CL80" s="377"/>
      <c r="CM80" s="377"/>
      <c r="CN80" s="377"/>
      <c r="CO80" s="377"/>
      <c r="CP80" s="377"/>
      <c r="CQ80" s="377"/>
      <c r="CR80" s="377"/>
      <c r="CS80" s="377"/>
      <c r="CT80" s="377"/>
      <c r="CU80" s="377"/>
      <c r="CV80" s="377"/>
      <c r="CW80" s="377"/>
      <c r="CX80" s="377"/>
      <c r="CY80" s="377"/>
      <c r="CZ80" s="377"/>
      <c r="DA80" s="377"/>
      <c r="DB80" s="377"/>
      <c r="DC80" s="377"/>
      <c r="DD80" s="377"/>
      <c r="DE80" s="377"/>
      <c r="DF80" s="377"/>
      <c r="DG80" s="377"/>
      <c r="DH80" s="377"/>
      <c r="DI80" s="377"/>
      <c r="DJ80" s="377"/>
      <c r="DK80" s="377"/>
      <c r="DL80" s="377"/>
      <c r="DM80" s="377"/>
      <c r="DN80" s="377"/>
      <c r="DO80" s="377"/>
      <c r="DP80" s="377"/>
      <c r="DQ80" s="377"/>
      <c r="DR80" s="377"/>
      <c r="DS80" s="377"/>
      <c r="DT80" s="377"/>
      <c r="DU80" s="377"/>
      <c r="DV80" s="377"/>
      <c r="DW80" s="377"/>
      <c r="DX80" s="377"/>
      <c r="DY80" s="377"/>
      <c r="DZ80" s="377"/>
      <c r="EA80" s="377"/>
      <c r="EB80" s="377"/>
      <c r="EC80" s="377"/>
      <c r="ED80" s="377"/>
      <c r="EE80" s="377"/>
      <c r="EF80" s="377"/>
      <c r="EG80" s="377"/>
      <c r="EH80" s="377"/>
      <c r="EI80" s="377"/>
      <c r="EJ80" s="377"/>
      <c r="EK80" s="377"/>
      <c r="EL80" s="377"/>
      <c r="EM80" s="377"/>
      <c r="EN80" s="377"/>
      <c r="EO80" s="377"/>
      <c r="EP80" s="377"/>
      <c r="EQ80" s="377"/>
      <c r="ER80" s="377"/>
      <c r="ES80" s="377"/>
      <c r="ET80" s="377"/>
      <c r="EU80" s="377"/>
      <c r="EV80" s="377"/>
      <c r="EW80" s="377"/>
      <c r="EX80" s="377"/>
      <c r="EY80" s="377"/>
      <c r="EZ80" s="377"/>
      <c r="FA80" s="377"/>
      <c r="FB80" s="377"/>
      <c r="FC80" s="377"/>
      <c r="FD80" s="377"/>
      <c r="FE80" s="377"/>
      <c r="FF80" s="377"/>
      <c r="FG80" s="377"/>
      <c r="FH80" s="377"/>
      <c r="FI80" s="377"/>
      <c r="FJ80" s="377"/>
      <c r="FK80" s="377"/>
      <c r="FL80" s="377"/>
      <c r="FM80" s="377"/>
      <c r="FN80" s="377"/>
      <c r="FO80" s="377"/>
      <c r="FP80" s="377"/>
      <c r="FQ80" s="377"/>
      <c r="FR80" s="377"/>
      <c r="FS80" s="377"/>
      <c r="FT80" s="377"/>
      <c r="FU80" s="377"/>
      <c r="FV80" s="377"/>
      <c r="FW80" s="377"/>
      <c r="FX80" s="377"/>
      <c r="FY80" s="377"/>
      <c r="FZ80" s="377"/>
      <c r="GA80" s="377"/>
      <c r="GB80" s="377"/>
      <c r="GC80" s="377"/>
      <c r="GD80" s="377"/>
      <c r="GE80" s="377"/>
      <c r="GF80" s="377"/>
      <c r="GG80" s="377"/>
      <c r="GH80" s="377"/>
      <c r="GI80" s="377"/>
      <c r="GJ80" s="377"/>
      <c r="GK80" s="377"/>
      <c r="GL80" s="377"/>
      <c r="GM80" s="377"/>
      <c r="GN80" s="377"/>
      <c r="GO80" s="377"/>
      <c r="GP80" s="377"/>
      <c r="GQ80" s="377"/>
      <c r="GR80" s="377"/>
      <c r="GS80" s="377"/>
    </row>
    <row r="81" spans="1:201" ht="13.5" thickBot="1">
      <c r="A81" s="808"/>
      <c r="B81" s="811"/>
      <c r="C81" s="814"/>
      <c r="D81" s="817"/>
      <c r="E81" s="819"/>
      <c r="F81" s="824"/>
      <c r="G81" s="825"/>
      <c r="H81" s="825"/>
      <c r="I81" s="825"/>
      <c r="J81" s="825"/>
      <c r="K81" s="826"/>
      <c r="L81" s="825"/>
      <c r="M81" s="825"/>
      <c r="N81" s="825"/>
      <c r="O81" s="825"/>
      <c r="P81" s="825"/>
      <c r="Q81" s="825"/>
      <c r="R81" s="824">
        <v>0.1</v>
      </c>
      <c r="S81" s="825"/>
      <c r="T81" s="825"/>
      <c r="U81" s="825"/>
      <c r="V81" s="825"/>
      <c r="W81" s="826"/>
      <c r="X81" s="825">
        <v>0.7</v>
      </c>
      <c r="Y81" s="825"/>
      <c r="Z81" s="825"/>
      <c r="AA81" s="825"/>
      <c r="AB81" s="825"/>
      <c r="AC81" s="825"/>
      <c r="AD81" s="824">
        <v>0.2</v>
      </c>
      <c r="AE81" s="825"/>
      <c r="AF81" s="825"/>
      <c r="AG81" s="825"/>
      <c r="AH81" s="825"/>
      <c r="AI81" s="825"/>
      <c r="AJ81" s="825"/>
      <c r="AK81" s="825"/>
      <c r="AL81" s="825"/>
      <c r="AM81" s="825"/>
      <c r="AN81" s="825"/>
      <c r="AO81" s="827"/>
      <c r="AP81" s="517"/>
      <c r="AQ81" s="377"/>
      <c r="AR81" s="377"/>
      <c r="AS81" s="377"/>
      <c r="AT81" s="377"/>
      <c r="AU81" s="377"/>
      <c r="AV81" s="377"/>
      <c r="AW81" s="377"/>
      <c r="AX81" s="377"/>
      <c r="AY81" s="377"/>
      <c r="AZ81" s="377"/>
      <c r="BA81" s="377"/>
      <c r="BB81" s="377"/>
      <c r="BC81" s="377"/>
      <c r="BD81" s="377"/>
      <c r="BE81" s="377"/>
      <c r="BF81" s="377"/>
      <c r="BG81" s="377"/>
      <c r="BH81" s="377"/>
      <c r="BI81" s="377"/>
      <c r="BJ81" s="377"/>
      <c r="BK81" s="377"/>
      <c r="BL81" s="377"/>
      <c r="BM81" s="377"/>
      <c r="BN81" s="377"/>
      <c r="BO81" s="377"/>
      <c r="BP81" s="377"/>
      <c r="BQ81" s="377"/>
      <c r="BR81" s="377"/>
      <c r="BS81" s="377"/>
      <c r="BT81" s="377"/>
      <c r="BU81" s="377"/>
      <c r="BV81" s="377"/>
      <c r="BW81" s="377"/>
      <c r="BX81" s="377"/>
      <c r="BY81" s="377"/>
      <c r="BZ81" s="377"/>
      <c r="CA81" s="377"/>
      <c r="CB81" s="377"/>
      <c r="CC81" s="377"/>
      <c r="CD81" s="377"/>
      <c r="CE81" s="377"/>
      <c r="CF81" s="377"/>
      <c r="CG81" s="377"/>
      <c r="CH81" s="377"/>
      <c r="CI81" s="377"/>
      <c r="CJ81" s="377"/>
      <c r="CK81" s="377"/>
      <c r="CL81" s="377"/>
      <c r="CM81" s="377"/>
      <c r="CN81" s="377"/>
      <c r="CO81" s="377"/>
      <c r="CP81" s="377"/>
      <c r="CQ81" s="377"/>
      <c r="CR81" s="377"/>
      <c r="CS81" s="377"/>
      <c r="CT81" s="377"/>
      <c r="CU81" s="377"/>
      <c r="CV81" s="377"/>
      <c r="CW81" s="377"/>
      <c r="CX81" s="377"/>
      <c r="CY81" s="377"/>
      <c r="CZ81" s="377"/>
      <c r="DA81" s="377"/>
      <c r="DB81" s="377"/>
      <c r="DC81" s="377"/>
      <c r="DD81" s="377"/>
      <c r="DE81" s="377"/>
      <c r="DF81" s="377"/>
      <c r="DG81" s="377"/>
      <c r="DH81" s="377"/>
      <c r="DI81" s="377"/>
      <c r="DJ81" s="377"/>
      <c r="DK81" s="377"/>
      <c r="DL81" s="377"/>
      <c r="DM81" s="377"/>
      <c r="DN81" s="377"/>
      <c r="DO81" s="377"/>
      <c r="DP81" s="377"/>
      <c r="DQ81" s="377"/>
      <c r="DR81" s="377"/>
      <c r="DS81" s="377"/>
      <c r="DT81" s="377"/>
      <c r="DU81" s="377"/>
      <c r="DV81" s="377"/>
      <c r="DW81" s="377"/>
      <c r="DX81" s="377"/>
      <c r="DY81" s="377"/>
      <c r="DZ81" s="377"/>
      <c r="EA81" s="377"/>
      <c r="EB81" s="377"/>
      <c r="EC81" s="377"/>
      <c r="ED81" s="377"/>
      <c r="EE81" s="377"/>
      <c r="EF81" s="377"/>
      <c r="EG81" s="377"/>
      <c r="EH81" s="377"/>
      <c r="EI81" s="377"/>
      <c r="EJ81" s="377"/>
      <c r="EK81" s="377"/>
      <c r="EL81" s="377"/>
      <c r="EM81" s="377"/>
      <c r="EN81" s="377"/>
      <c r="EO81" s="377"/>
      <c r="EP81" s="377"/>
      <c r="EQ81" s="377"/>
      <c r="ER81" s="377"/>
      <c r="ES81" s="377"/>
      <c r="ET81" s="377"/>
      <c r="EU81" s="377"/>
      <c r="EV81" s="377"/>
      <c r="EW81" s="377"/>
      <c r="EX81" s="377"/>
      <c r="EY81" s="377"/>
      <c r="EZ81" s="377"/>
      <c r="FA81" s="377"/>
      <c r="FB81" s="377"/>
      <c r="FC81" s="377"/>
      <c r="FD81" s="377"/>
      <c r="FE81" s="377"/>
      <c r="FF81" s="377"/>
      <c r="FG81" s="377"/>
      <c r="FH81" s="377"/>
      <c r="FI81" s="377"/>
      <c r="FJ81" s="377"/>
      <c r="FK81" s="377"/>
      <c r="FL81" s="377"/>
      <c r="FM81" s="377"/>
      <c r="FN81" s="377"/>
      <c r="FO81" s="377"/>
      <c r="FP81" s="377"/>
      <c r="FQ81" s="377"/>
      <c r="FR81" s="377"/>
      <c r="FS81" s="377"/>
      <c r="FT81" s="377"/>
      <c r="FU81" s="377"/>
      <c r="FV81" s="377"/>
      <c r="FW81" s="377"/>
      <c r="FX81" s="377"/>
      <c r="FY81" s="377"/>
      <c r="FZ81" s="377"/>
      <c r="GA81" s="377"/>
      <c r="GB81" s="377"/>
      <c r="GC81" s="377"/>
      <c r="GD81" s="377"/>
      <c r="GE81" s="377"/>
      <c r="GF81" s="377"/>
      <c r="GG81" s="377"/>
      <c r="GH81" s="377"/>
      <c r="GI81" s="377"/>
      <c r="GJ81" s="377"/>
      <c r="GK81" s="377"/>
      <c r="GL81" s="377"/>
      <c r="GM81" s="377"/>
      <c r="GN81" s="377"/>
      <c r="GO81" s="377"/>
      <c r="GP81" s="377"/>
      <c r="GQ81" s="377"/>
      <c r="GR81" s="377"/>
      <c r="GS81" s="377"/>
    </row>
    <row r="82" spans="1:201" ht="15">
      <c r="A82" s="930" t="s">
        <v>2010</v>
      </c>
      <c r="B82" s="931"/>
      <c r="C82" s="734"/>
      <c r="D82" s="735">
        <f>SUM(D13:D81)</f>
        <v>3423999.9955520001</v>
      </c>
      <c r="E82" s="736">
        <f>SUM(E13:E81)</f>
        <v>0.99999999999999978</v>
      </c>
      <c r="F82" s="916">
        <f>F76+F73+F70+F67+F64+F61+F58+F55+F52+F49+F46+F43+F40+F37+F34+F31+F28+F25+F22+F19+F16+F13+F79</f>
        <v>539736.60737760004</v>
      </c>
      <c r="G82" s="832" t="e">
        <f>G13+G16+G19+G22+G25+G28+G31+#REF!+#REF!+#REF!</f>
        <v>#REF!</v>
      </c>
      <c r="H82" s="832" t="e">
        <f>H13+H16+H19+H22+H25+H28+H31+#REF!+#REF!+#REF!</f>
        <v>#REF!</v>
      </c>
      <c r="I82" s="833" t="e">
        <f>I13+I16+I19+I22+I25+I28+I31+#REF!+#REF!+#REF!</f>
        <v>#REF!</v>
      </c>
      <c r="J82" s="833" t="e">
        <f>J13+J16+J19+J22+J25+J28+J31+#REF!+#REF!+#REF!</f>
        <v>#REF!</v>
      </c>
      <c r="K82" s="833" t="e">
        <f>K13+K16+K19+K22+K25+K28+K31+#REF!+#REF!+#REF!</f>
        <v>#REF!</v>
      </c>
      <c r="L82" s="832">
        <f>L76+L73+L70+L67+L64+L61+L58+L55+L52+L49+L46+L43+L40+L37+L34+L31+L28+L25+L22+L19+L16+L13+L79</f>
        <v>553358.0760175999</v>
      </c>
      <c r="M82" s="832" t="e">
        <f>M13+M16+M19+M22+M25+M28+M31+#REF!+#REF!+#REF!</f>
        <v>#REF!</v>
      </c>
      <c r="N82" s="832" t="e">
        <f>N13+N16+N19+N22+N25+N28+N31+#REF!+#REF!+#REF!</f>
        <v>#REF!</v>
      </c>
      <c r="O82" s="833" t="e">
        <f>O13+O16+O19+O22+O25+O28+O31+#REF!+#REF!+#REF!</f>
        <v>#REF!</v>
      </c>
      <c r="P82" s="833" t="e">
        <f>P13+P16+P19+P22+P25+P28+P31+#REF!+#REF!+#REF!</f>
        <v>#REF!</v>
      </c>
      <c r="Q82" s="833" t="e">
        <f>Q13+Q16+Q19+Q22+Q25+Q28+Q31+#REF!+#REF!+#REF!</f>
        <v>#REF!</v>
      </c>
      <c r="R82" s="832">
        <f>R76+R73+R70+R67+R64+R61+R58+R55+R52+R49+R46+R43+R40+R37+R34+R31+R28+R25+R22+R19+R16+R13+R79</f>
        <v>528527.44629520003</v>
      </c>
      <c r="S82" s="832" t="e">
        <f>S13+S16+S19+S22+S25+S28+S31+#REF!+#REF!+#REF!</f>
        <v>#REF!</v>
      </c>
      <c r="T82" s="832" t="e">
        <f>T13+T16+T19+T22+T25+T28+T31+#REF!+#REF!+#REF!</f>
        <v>#REF!</v>
      </c>
      <c r="U82" s="833" t="e">
        <f>U13+U16+U19+U22+U25+U28+U31+#REF!+#REF!+#REF!</f>
        <v>#REF!</v>
      </c>
      <c r="V82" s="833" t="e">
        <f>V13+V16+V19+V22+V25+V28+V31+#REF!+#REF!+#REF!</f>
        <v>#REF!</v>
      </c>
      <c r="W82" s="833" t="e">
        <f>W13+W16+W19+W22+W25+W28+W31+#REF!+#REF!+#REF!</f>
        <v>#REF!</v>
      </c>
      <c r="X82" s="832">
        <f>X76+X73+X70+X67+X64+X61+X58+X55+X52+X49+X46+X43+X40+X37+X34+X31+X28+X25+X22+X19+X16+X13+X79</f>
        <v>833937.43979520001</v>
      </c>
      <c r="Y82" s="832" t="e">
        <f>Y13+Y16+Y19+Y22+Y25+Y28+Y31+#REF!+#REF!+#REF!</f>
        <v>#REF!</v>
      </c>
      <c r="Z82" s="832" t="e">
        <f>Z13+Z16+Z19+Z22+Z25+Z28+Z31+#REF!+#REF!+#REF!</f>
        <v>#REF!</v>
      </c>
      <c r="AA82" s="833" t="e">
        <f>AA13+AA16+AA19+AA22+AA25+AA28+AA31+#REF!+#REF!+#REF!</f>
        <v>#REF!</v>
      </c>
      <c r="AB82" s="833" t="e">
        <f>AB13+AB16+AB19+AB22+AB25+AB28+AB31+#REF!+#REF!+#REF!</f>
        <v>#REF!</v>
      </c>
      <c r="AC82" s="833" t="e">
        <f>AC13+AC16+AC19+AC22+AC25+AC28+AC31+#REF!+#REF!+#REF!</f>
        <v>#REF!</v>
      </c>
      <c r="AD82" s="832">
        <f>AD76+AD73+AD70+AD67+AD64+AD61+AD58+AD55+AD52+AD49+AD46+AD43+AD40+AD37+AD34+AD31+AD28+AD25+AD22+AD19+AD16+AD13+AD79</f>
        <v>513997.10190560017</v>
      </c>
      <c r="AE82" s="832" t="e">
        <f>AE13+AE16+AE19+AE22+AE25+AE28+AE31+#REF!+#REF!+#REF!</f>
        <v>#REF!</v>
      </c>
      <c r="AF82" s="832" t="e">
        <f>AF13+AF16+AF19+AF22+AF25+AF28+AF31+#REF!+#REF!+#REF!</f>
        <v>#REF!</v>
      </c>
      <c r="AG82" s="833" t="e">
        <f>AG13+AG16+AG19+AG22+AG25+AG28+AG31+#REF!+#REF!+#REF!</f>
        <v>#REF!</v>
      </c>
      <c r="AH82" s="833" t="e">
        <f>AH13+AH16+AH19+AH22+AH25+AH28+AH31+#REF!+#REF!+#REF!</f>
        <v>#REF!</v>
      </c>
      <c r="AI82" s="833" t="e">
        <f>AI13+AI16+AI19+AI22+AI25+AI28+AI31+#REF!+#REF!+#REF!</f>
        <v>#REF!</v>
      </c>
      <c r="AJ82" s="832">
        <f>AJ76+AJ73+AJ70+AJ67+AJ64+AJ61+AJ58+AJ55+AJ52+AJ49+AJ46+AJ43+AJ40+AJ37+AJ34+AJ31+AJ28+AJ25+AJ22+AJ19+AJ16+AJ13+AJ79</f>
        <v>454443.32502080005</v>
      </c>
      <c r="AK82" s="832" t="e">
        <f>AK13+AK16+AK19+AK22+AK25+AK28+AK31+#REF!+#REF!+#REF!</f>
        <v>#REF!</v>
      </c>
      <c r="AL82" s="832" t="e">
        <f>AL13+AL16+AL19+AL22+AL25+AL28+AL31+#REF!+#REF!+#REF!</f>
        <v>#REF!</v>
      </c>
      <c r="AM82" s="833" t="e">
        <f>AM13+AM16+AM19+AM22+AM25+AM28+AM31+#REF!+#REF!+#REF!</f>
        <v>#REF!</v>
      </c>
      <c r="AN82" s="833" t="e">
        <f>AN13+AN16+AN19+AN22+AN25+AN28+AN31+#REF!+#REF!+#REF!</f>
        <v>#REF!</v>
      </c>
      <c r="AO82" s="834" t="e">
        <f>AO13+AO16+AO19+AO22+AO25+AO28+AO31+#REF!+#REF!+#REF!</f>
        <v>#REF!</v>
      </c>
      <c r="AP82" s="517"/>
      <c r="AQ82" s="377"/>
      <c r="AR82" s="377"/>
      <c r="AS82" s="377"/>
      <c r="AT82" s="377"/>
      <c r="AU82" s="377"/>
      <c r="AV82" s="377"/>
      <c r="AW82" s="377"/>
      <c r="AX82" s="377"/>
      <c r="AY82" s="377"/>
      <c r="AZ82" s="377"/>
      <c r="BA82" s="377"/>
      <c r="BB82" s="377"/>
      <c r="BC82" s="377"/>
      <c r="BD82" s="377"/>
      <c r="BE82" s="377"/>
      <c r="BF82" s="377"/>
      <c r="BG82" s="377"/>
      <c r="BH82" s="377"/>
      <c r="BI82" s="377"/>
      <c r="BJ82" s="377"/>
      <c r="BK82" s="377"/>
      <c r="BL82" s="377"/>
      <c r="BM82" s="377"/>
      <c r="BN82" s="377"/>
      <c r="BO82" s="377"/>
      <c r="BP82" s="377"/>
      <c r="BQ82" s="377"/>
      <c r="BR82" s="377"/>
      <c r="BS82" s="377"/>
      <c r="BT82" s="377"/>
      <c r="BU82" s="377"/>
      <c r="BV82" s="377"/>
      <c r="BW82" s="377"/>
      <c r="BX82" s="377"/>
      <c r="BY82" s="377"/>
      <c r="BZ82" s="377"/>
      <c r="CA82" s="377"/>
      <c r="CB82" s="377"/>
      <c r="CC82" s="377"/>
      <c r="CD82" s="377"/>
      <c r="CE82" s="377"/>
      <c r="CF82" s="377"/>
      <c r="CG82" s="377"/>
      <c r="CH82" s="377"/>
      <c r="CI82" s="377"/>
      <c r="CJ82" s="377"/>
      <c r="CK82" s="377"/>
      <c r="CL82" s="377"/>
      <c r="CM82" s="377"/>
      <c r="CN82" s="377"/>
      <c r="CO82" s="377"/>
      <c r="CP82" s="377"/>
      <c r="CQ82" s="377"/>
      <c r="CR82" s="377"/>
      <c r="CS82" s="377"/>
      <c r="CT82" s="377"/>
      <c r="CU82" s="377"/>
      <c r="CV82" s="377"/>
      <c r="CW82" s="377"/>
      <c r="CX82" s="377"/>
      <c r="CY82" s="377"/>
      <c r="CZ82" s="377"/>
      <c r="DA82" s="377"/>
      <c r="DB82" s="377"/>
      <c r="DC82" s="377"/>
      <c r="DD82" s="377"/>
      <c r="DE82" s="377"/>
      <c r="DF82" s="377"/>
      <c r="DG82" s="377"/>
      <c r="DH82" s="377"/>
      <c r="DI82" s="377"/>
      <c r="DJ82" s="377"/>
      <c r="DK82" s="377"/>
      <c r="DL82" s="377"/>
      <c r="DM82" s="377"/>
      <c r="DN82" s="377"/>
      <c r="DO82" s="377"/>
      <c r="DP82" s="377"/>
      <c r="DQ82" s="377"/>
      <c r="DR82" s="377"/>
      <c r="DS82" s="377"/>
      <c r="DT82" s="377"/>
      <c r="DU82" s="377"/>
      <c r="DV82" s="377"/>
      <c r="DW82" s="377"/>
      <c r="DX82" s="377"/>
      <c r="DY82" s="377"/>
      <c r="DZ82" s="377"/>
      <c r="EA82" s="377"/>
      <c r="EB82" s="377"/>
      <c r="EC82" s="377"/>
      <c r="ED82" s="377"/>
      <c r="EE82" s="377"/>
      <c r="EF82" s="377"/>
      <c r="EG82" s="377"/>
      <c r="EH82" s="377"/>
      <c r="EI82" s="377"/>
      <c r="EJ82" s="377"/>
      <c r="EK82" s="377"/>
      <c r="EL82" s="377"/>
      <c r="EM82" s="377"/>
      <c r="EN82" s="377"/>
      <c r="EO82" s="377"/>
      <c r="EP82" s="377"/>
      <c r="EQ82" s="377"/>
      <c r="ER82" s="377"/>
      <c r="ES82" s="377"/>
      <c r="ET82" s="377"/>
      <c r="EU82" s="377"/>
      <c r="EV82" s="377"/>
      <c r="EW82" s="377"/>
      <c r="EX82" s="377"/>
      <c r="EY82" s="377"/>
      <c r="EZ82" s="377"/>
      <c r="FA82" s="377"/>
      <c r="FB82" s="377"/>
      <c r="FC82" s="377"/>
      <c r="FD82" s="377"/>
      <c r="FE82" s="377"/>
      <c r="FF82" s="377"/>
      <c r="FG82" s="377"/>
      <c r="FH82" s="377"/>
      <c r="FI82" s="377"/>
      <c r="FJ82" s="377"/>
      <c r="FK82" s="377"/>
      <c r="FL82" s="377"/>
      <c r="FM82" s="377"/>
      <c r="FN82" s="377"/>
      <c r="FO82" s="377"/>
      <c r="FP82" s="377"/>
      <c r="FQ82" s="377"/>
      <c r="FR82" s="377"/>
      <c r="FS82" s="377"/>
      <c r="FT82" s="377"/>
      <c r="FU82" s="377"/>
      <c r="FV82" s="377"/>
      <c r="FW82" s="377"/>
      <c r="FX82" s="377"/>
      <c r="FY82" s="377"/>
      <c r="FZ82" s="377"/>
      <c r="GA82" s="377"/>
      <c r="GB82" s="377"/>
      <c r="GC82" s="377"/>
      <c r="GD82" s="377"/>
      <c r="GE82" s="377"/>
      <c r="GF82" s="377"/>
      <c r="GG82" s="377"/>
      <c r="GH82" s="377"/>
      <c r="GI82" s="377"/>
      <c r="GJ82" s="377"/>
      <c r="GK82" s="377"/>
      <c r="GL82" s="377"/>
      <c r="GM82" s="377"/>
      <c r="GN82" s="377"/>
      <c r="GO82" s="377"/>
      <c r="GP82" s="377"/>
      <c r="GQ82" s="377"/>
      <c r="GR82" s="377"/>
      <c r="GS82" s="377"/>
    </row>
    <row r="83" spans="1:201" ht="15">
      <c r="A83" s="925" t="s">
        <v>2011</v>
      </c>
      <c r="B83" s="926"/>
      <c r="C83" s="926"/>
      <c r="D83" s="926"/>
      <c r="E83" s="927"/>
      <c r="F83" s="929">
        <f>F82/$D$82</f>
        <v>0.15763335516318727</v>
      </c>
      <c r="G83" s="835"/>
      <c r="H83" s="835"/>
      <c r="I83" s="836"/>
      <c r="J83" s="836"/>
      <c r="K83" s="836"/>
      <c r="L83" s="835">
        <f t="shared" ref="L83" si="0">L82/$D$82</f>
        <v>0.1616115878319066</v>
      </c>
      <c r="M83" s="835"/>
      <c r="N83" s="835"/>
      <c r="O83" s="836"/>
      <c r="P83" s="836"/>
      <c r="Q83" s="836"/>
      <c r="R83" s="835">
        <f t="shared" ref="R83" si="1">R82/$D$82</f>
        <v>0.15435965157178497</v>
      </c>
      <c r="S83" s="835"/>
      <c r="T83" s="835"/>
      <c r="U83" s="836"/>
      <c r="V83" s="836"/>
      <c r="W83" s="836"/>
      <c r="X83" s="835">
        <f t="shared" ref="X83" si="2">X82/$D$82</f>
        <v>0.24355649558368553</v>
      </c>
      <c r="Y83" s="835"/>
      <c r="Z83" s="835"/>
      <c r="AA83" s="836"/>
      <c r="AB83" s="836"/>
      <c r="AC83" s="836"/>
      <c r="AD83" s="835">
        <f t="shared" ref="AD83" si="3">AD82/$D$82</f>
        <v>0.15011597621884229</v>
      </c>
      <c r="AE83" s="835"/>
      <c r="AF83" s="835"/>
      <c r="AG83" s="836"/>
      <c r="AH83" s="836"/>
      <c r="AI83" s="836"/>
      <c r="AJ83" s="835">
        <f t="shared" ref="AJ83" si="4">AJ82/$D$82</f>
        <v>0.13272293388176157</v>
      </c>
      <c r="AK83" s="835"/>
      <c r="AL83" s="835"/>
      <c r="AM83" s="836"/>
      <c r="AN83" s="836"/>
      <c r="AO83" s="837"/>
      <c r="AP83" s="517"/>
      <c r="AQ83" s="377"/>
      <c r="AR83" s="377"/>
      <c r="AS83" s="377"/>
      <c r="AT83" s="377"/>
      <c r="AU83" s="377"/>
      <c r="AV83" s="377"/>
      <c r="AW83" s="377"/>
      <c r="AX83" s="377"/>
      <c r="AY83" s="377"/>
      <c r="AZ83" s="377"/>
      <c r="BA83" s="377"/>
      <c r="BB83" s="377"/>
      <c r="BC83" s="377"/>
      <c r="BD83" s="377"/>
      <c r="BE83" s="377"/>
      <c r="BF83" s="377"/>
      <c r="BG83" s="377"/>
      <c r="BH83" s="377"/>
      <c r="BI83" s="377"/>
      <c r="BJ83" s="377"/>
      <c r="BK83" s="377"/>
      <c r="BL83" s="377"/>
      <c r="BM83" s="377"/>
      <c r="BN83" s="377"/>
      <c r="BO83" s="377"/>
      <c r="BP83" s="377"/>
      <c r="BQ83" s="377"/>
      <c r="BR83" s="377"/>
      <c r="BS83" s="377"/>
      <c r="BT83" s="377"/>
      <c r="BU83" s="377"/>
      <c r="BV83" s="377"/>
      <c r="BW83" s="377"/>
      <c r="BX83" s="377"/>
      <c r="BY83" s="377"/>
      <c r="BZ83" s="377"/>
      <c r="CA83" s="377"/>
      <c r="CB83" s="377"/>
      <c r="CC83" s="377"/>
      <c r="CD83" s="377"/>
      <c r="CE83" s="377"/>
      <c r="CF83" s="377"/>
      <c r="CG83" s="377"/>
      <c r="CH83" s="377"/>
      <c r="CI83" s="377"/>
      <c r="CJ83" s="377"/>
      <c r="CK83" s="377"/>
      <c r="CL83" s="377"/>
      <c r="CM83" s="377"/>
      <c r="CN83" s="377"/>
      <c r="CO83" s="377"/>
      <c r="CP83" s="377"/>
      <c r="CQ83" s="377"/>
      <c r="CR83" s="377"/>
      <c r="CS83" s="377"/>
      <c r="CT83" s="377"/>
      <c r="CU83" s="377"/>
      <c r="CV83" s="377"/>
      <c r="CW83" s="377"/>
      <c r="CX83" s="377"/>
      <c r="CY83" s="377"/>
      <c r="CZ83" s="377"/>
      <c r="DA83" s="377"/>
      <c r="DB83" s="377"/>
      <c r="DC83" s="377"/>
      <c r="DD83" s="377"/>
      <c r="DE83" s="377"/>
      <c r="DF83" s="377"/>
      <c r="DG83" s="377"/>
      <c r="DH83" s="377"/>
      <c r="DI83" s="377"/>
      <c r="DJ83" s="377"/>
      <c r="DK83" s="377"/>
      <c r="DL83" s="377"/>
      <c r="DM83" s="377"/>
      <c r="DN83" s="377"/>
      <c r="DO83" s="377"/>
      <c r="DP83" s="377"/>
      <c r="DQ83" s="377"/>
      <c r="DR83" s="377"/>
      <c r="DS83" s="377"/>
      <c r="DT83" s="377"/>
      <c r="DU83" s="377"/>
      <c r="DV83" s="377"/>
      <c r="DW83" s="377"/>
      <c r="DX83" s="377"/>
      <c r="DY83" s="377"/>
      <c r="DZ83" s="377"/>
      <c r="EA83" s="377"/>
      <c r="EB83" s="377"/>
      <c r="EC83" s="377"/>
      <c r="ED83" s="377"/>
      <c r="EE83" s="377"/>
      <c r="EF83" s="377"/>
      <c r="EG83" s="377"/>
      <c r="EH83" s="377"/>
      <c r="EI83" s="377"/>
      <c r="EJ83" s="377"/>
      <c r="EK83" s="377"/>
      <c r="EL83" s="377"/>
      <c r="EM83" s="377"/>
      <c r="EN83" s="377"/>
      <c r="EO83" s="377"/>
      <c r="EP83" s="377"/>
      <c r="EQ83" s="377"/>
      <c r="ER83" s="377"/>
      <c r="ES83" s="377"/>
      <c r="ET83" s="377"/>
      <c r="EU83" s="377"/>
      <c r="EV83" s="377"/>
      <c r="EW83" s="377"/>
      <c r="EX83" s="377"/>
      <c r="EY83" s="377"/>
      <c r="EZ83" s="377"/>
      <c r="FA83" s="377"/>
      <c r="FB83" s="377"/>
      <c r="FC83" s="377"/>
      <c r="FD83" s="377"/>
      <c r="FE83" s="377"/>
      <c r="FF83" s="377"/>
      <c r="FG83" s="377"/>
      <c r="FH83" s="377"/>
      <c r="FI83" s="377"/>
      <c r="FJ83" s="377"/>
      <c r="FK83" s="377"/>
      <c r="FL83" s="377"/>
      <c r="FM83" s="377"/>
      <c r="FN83" s="377"/>
      <c r="FO83" s="377"/>
      <c r="FP83" s="377"/>
      <c r="FQ83" s="377"/>
      <c r="FR83" s="377"/>
      <c r="FS83" s="377"/>
      <c r="FT83" s="377"/>
      <c r="FU83" s="377"/>
      <c r="FV83" s="377"/>
      <c r="FW83" s="377"/>
      <c r="FX83" s="377"/>
      <c r="FY83" s="377"/>
      <c r="FZ83" s="377"/>
      <c r="GA83" s="377"/>
      <c r="GB83" s="377"/>
      <c r="GC83" s="377"/>
      <c r="GD83" s="377"/>
      <c r="GE83" s="377"/>
      <c r="GF83" s="377"/>
      <c r="GG83" s="377"/>
      <c r="GH83" s="377"/>
      <c r="GI83" s="377"/>
      <c r="GJ83" s="377"/>
      <c r="GK83" s="377"/>
      <c r="GL83" s="377"/>
      <c r="GM83" s="377"/>
      <c r="GN83" s="377"/>
      <c r="GO83" s="377"/>
      <c r="GP83" s="377"/>
      <c r="GQ83" s="377"/>
      <c r="GR83" s="377"/>
      <c r="GS83" s="377"/>
    </row>
    <row r="84" spans="1:201" ht="15.75" customHeight="1">
      <c r="A84" s="925" t="s">
        <v>2012</v>
      </c>
      <c r="B84" s="926"/>
      <c r="C84" s="926"/>
      <c r="D84" s="926"/>
      <c r="E84" s="927"/>
      <c r="F84" s="928">
        <f>F82</f>
        <v>539736.60737760004</v>
      </c>
      <c r="G84" s="798"/>
      <c r="H84" s="798"/>
      <c r="I84" s="798"/>
      <c r="J84" s="798"/>
      <c r="K84" s="798"/>
      <c r="L84" s="798">
        <f>F84+L82</f>
        <v>1093094.6833951999</v>
      </c>
      <c r="M84" s="798"/>
      <c r="N84" s="798"/>
      <c r="O84" s="798"/>
      <c r="P84" s="798"/>
      <c r="Q84" s="798"/>
      <c r="R84" s="798">
        <f t="shared" ref="R84" si="5">L84+R82</f>
        <v>1621622.1296903999</v>
      </c>
      <c r="S84" s="798"/>
      <c r="T84" s="798"/>
      <c r="U84" s="798"/>
      <c r="V84" s="798"/>
      <c r="W84" s="798"/>
      <c r="X84" s="798">
        <f t="shared" ref="X84" si="6">R84+X82</f>
        <v>2455559.5694856001</v>
      </c>
      <c r="Y84" s="798"/>
      <c r="Z84" s="798"/>
      <c r="AA84" s="798"/>
      <c r="AB84" s="798"/>
      <c r="AC84" s="798"/>
      <c r="AD84" s="798">
        <f t="shared" ref="AD84" si="7">X84+AD82</f>
        <v>2969556.6713912003</v>
      </c>
      <c r="AE84" s="798"/>
      <c r="AF84" s="798"/>
      <c r="AG84" s="798"/>
      <c r="AH84" s="798"/>
      <c r="AI84" s="798"/>
      <c r="AJ84" s="798">
        <f t="shared" ref="AJ84" si="8">AD84+AJ82</f>
        <v>3423999.9964120002</v>
      </c>
      <c r="AK84" s="798"/>
      <c r="AL84" s="798"/>
      <c r="AM84" s="798"/>
      <c r="AN84" s="798"/>
      <c r="AO84" s="799"/>
      <c r="AP84" s="517"/>
      <c r="AQ84" s="377"/>
      <c r="AR84" s="377"/>
      <c r="AS84" s="377"/>
      <c r="AT84" s="377"/>
      <c r="AU84" s="377"/>
      <c r="AV84" s="377"/>
      <c r="AW84" s="377"/>
      <c r="AX84" s="377"/>
      <c r="AY84" s="377"/>
      <c r="AZ84" s="377"/>
      <c r="BA84" s="377"/>
      <c r="BB84" s="377"/>
      <c r="BC84" s="377"/>
      <c r="BD84" s="377"/>
      <c r="BE84" s="377"/>
      <c r="BF84" s="377"/>
      <c r="BG84" s="377"/>
      <c r="BH84" s="377"/>
      <c r="BI84" s="377"/>
      <c r="BJ84" s="377"/>
      <c r="BK84" s="377"/>
      <c r="BL84" s="377"/>
      <c r="BM84" s="377"/>
      <c r="BN84" s="377"/>
      <c r="BO84" s="377"/>
      <c r="BP84" s="377"/>
      <c r="BQ84" s="377"/>
      <c r="BR84" s="377"/>
      <c r="BS84" s="377"/>
      <c r="BT84" s="377"/>
      <c r="BU84" s="377"/>
      <c r="BV84" s="377"/>
      <c r="BW84" s="377"/>
      <c r="BX84" s="377"/>
      <c r="BY84" s="377"/>
      <c r="BZ84" s="377"/>
      <c r="CA84" s="377"/>
      <c r="CB84" s="377"/>
      <c r="CC84" s="377"/>
      <c r="CD84" s="377"/>
      <c r="CE84" s="377"/>
      <c r="CF84" s="377"/>
      <c r="CG84" s="377"/>
      <c r="CH84" s="377"/>
      <c r="CI84" s="377"/>
      <c r="CJ84" s="377"/>
      <c r="CK84" s="377"/>
      <c r="CL84" s="377"/>
      <c r="CM84" s="377"/>
      <c r="CN84" s="377"/>
      <c r="CO84" s="377"/>
      <c r="CP84" s="377"/>
      <c r="CQ84" s="377"/>
      <c r="CR84" s="377"/>
      <c r="CS84" s="377"/>
      <c r="CT84" s="377"/>
      <c r="CU84" s="377"/>
      <c r="CV84" s="377"/>
      <c r="CW84" s="377"/>
      <c r="CX84" s="377"/>
      <c r="CY84" s="377"/>
      <c r="CZ84" s="377"/>
      <c r="DA84" s="377"/>
      <c r="DB84" s="377"/>
      <c r="DC84" s="377"/>
      <c r="DD84" s="377"/>
      <c r="DE84" s="377"/>
      <c r="DF84" s="377"/>
      <c r="DG84" s="377"/>
      <c r="DH84" s="377"/>
      <c r="DI84" s="377"/>
      <c r="DJ84" s="377"/>
      <c r="DK84" s="377"/>
      <c r="DL84" s="377"/>
      <c r="DM84" s="377"/>
      <c r="DN84" s="377"/>
      <c r="DO84" s="377"/>
      <c r="DP84" s="377"/>
      <c r="DQ84" s="377"/>
      <c r="DR84" s="377"/>
      <c r="DS84" s="377"/>
      <c r="DT84" s="377"/>
      <c r="DU84" s="377"/>
      <c r="DV84" s="377"/>
      <c r="DW84" s="377"/>
      <c r="DX84" s="377"/>
      <c r="DY84" s="377"/>
      <c r="DZ84" s="377"/>
      <c r="EA84" s="377"/>
      <c r="EB84" s="377"/>
      <c r="EC84" s="377"/>
      <c r="ED84" s="377"/>
      <c r="EE84" s="377"/>
      <c r="EF84" s="377"/>
      <c r="EG84" s="377"/>
      <c r="EH84" s="377"/>
      <c r="EI84" s="377"/>
      <c r="EJ84" s="377"/>
      <c r="EK84" s="377"/>
      <c r="EL84" s="377"/>
      <c r="EM84" s="377"/>
      <c r="EN84" s="377"/>
      <c r="EO84" s="377"/>
      <c r="EP84" s="377"/>
      <c r="EQ84" s="377"/>
      <c r="ER84" s="377"/>
      <c r="ES84" s="377"/>
      <c r="ET84" s="377"/>
      <c r="EU84" s="377"/>
      <c r="EV84" s="377"/>
      <c r="EW84" s="377"/>
      <c r="EX84" s="377"/>
      <c r="EY84" s="377"/>
      <c r="EZ84" s="377"/>
      <c r="FA84" s="377"/>
      <c r="FB84" s="377"/>
      <c r="FC84" s="377"/>
      <c r="FD84" s="377"/>
      <c r="FE84" s="377"/>
      <c r="FF84" s="377"/>
      <c r="FG84" s="377"/>
      <c r="FH84" s="377"/>
      <c r="FI84" s="377"/>
      <c r="FJ84" s="377"/>
      <c r="FK84" s="377"/>
      <c r="FL84" s="377"/>
      <c r="FM84" s="377"/>
      <c r="FN84" s="377"/>
      <c r="FO84" s="377"/>
      <c r="FP84" s="377"/>
      <c r="FQ84" s="377"/>
      <c r="FR84" s="377"/>
      <c r="FS84" s="377"/>
      <c r="FT84" s="377"/>
      <c r="FU84" s="377"/>
      <c r="FV84" s="377"/>
      <c r="FW84" s="377"/>
      <c r="FX84" s="377"/>
      <c r="FY84" s="377"/>
      <c r="FZ84" s="377"/>
      <c r="GA84" s="377"/>
      <c r="GB84" s="377"/>
      <c r="GC84" s="377"/>
      <c r="GD84" s="377"/>
      <c r="GE84" s="377"/>
      <c r="GF84" s="377"/>
      <c r="GG84" s="377"/>
      <c r="GH84" s="377"/>
      <c r="GI84" s="377"/>
      <c r="GJ84" s="377"/>
      <c r="GK84" s="377"/>
      <c r="GL84" s="377"/>
      <c r="GM84" s="377"/>
      <c r="GN84" s="377"/>
      <c r="GO84" s="377"/>
      <c r="GP84" s="377"/>
      <c r="GQ84" s="377"/>
      <c r="GR84" s="377"/>
      <c r="GS84" s="377"/>
    </row>
    <row r="85" spans="1:201" ht="15.75" thickBot="1">
      <c r="A85" s="920" t="s">
        <v>2013</v>
      </c>
      <c r="B85" s="921"/>
      <c r="C85" s="921"/>
      <c r="D85" s="921"/>
      <c r="E85" s="922"/>
      <c r="F85" s="923">
        <f>F84/$D$82</f>
        <v>0.15763335516318727</v>
      </c>
      <c r="G85" s="800"/>
      <c r="H85" s="800"/>
      <c r="I85" s="924"/>
      <c r="J85" s="924"/>
      <c r="K85" s="924"/>
      <c r="L85" s="800">
        <f>F85+L83</f>
        <v>0.31924494299509387</v>
      </c>
      <c r="M85" s="800"/>
      <c r="N85" s="800"/>
      <c r="O85" s="924"/>
      <c r="P85" s="924"/>
      <c r="Q85" s="924"/>
      <c r="R85" s="800">
        <f>R84/$D$82</f>
        <v>0.47360459456687881</v>
      </c>
      <c r="S85" s="800"/>
      <c r="T85" s="800"/>
      <c r="U85" s="800"/>
      <c r="V85" s="800"/>
      <c r="W85" s="800"/>
      <c r="X85" s="800">
        <f>X84/$D$82</f>
        <v>0.7171610901505644</v>
      </c>
      <c r="Y85" s="800"/>
      <c r="Z85" s="800"/>
      <c r="AA85" s="800"/>
      <c r="AB85" s="800"/>
      <c r="AC85" s="800"/>
      <c r="AD85" s="800">
        <f>AD84/$D$82</f>
        <v>0.86727706636940671</v>
      </c>
      <c r="AE85" s="800"/>
      <c r="AF85" s="800"/>
      <c r="AG85" s="800"/>
      <c r="AH85" s="800"/>
      <c r="AI85" s="800"/>
      <c r="AJ85" s="800">
        <f>AJ84/$D$82</f>
        <v>1.0000000002511682</v>
      </c>
      <c r="AK85" s="800"/>
      <c r="AL85" s="800"/>
      <c r="AM85" s="800"/>
      <c r="AN85" s="800"/>
      <c r="AO85" s="801"/>
      <c r="AP85" s="517"/>
      <c r="AQ85" s="377"/>
      <c r="AR85" s="377"/>
      <c r="AS85" s="377"/>
      <c r="AT85" s="377"/>
      <c r="AU85" s="377"/>
      <c r="AV85" s="377"/>
      <c r="AW85" s="377"/>
      <c r="AX85" s="377"/>
      <c r="AY85" s="377"/>
      <c r="AZ85" s="377"/>
      <c r="BA85" s="377"/>
      <c r="BB85" s="377"/>
      <c r="BC85" s="377"/>
      <c r="BD85" s="377"/>
      <c r="BE85" s="377"/>
      <c r="BF85" s="377"/>
      <c r="BG85" s="377"/>
      <c r="BH85" s="377"/>
      <c r="BI85" s="377"/>
      <c r="BJ85" s="377"/>
      <c r="BK85" s="377"/>
      <c r="BL85" s="377"/>
      <c r="BM85" s="377"/>
      <c r="BN85" s="377"/>
      <c r="BO85" s="377"/>
      <c r="BP85" s="377"/>
      <c r="BQ85" s="377"/>
      <c r="BR85" s="377"/>
      <c r="BS85" s="377"/>
      <c r="BT85" s="377"/>
      <c r="BU85" s="377"/>
      <c r="BV85" s="377"/>
      <c r="BW85" s="377"/>
      <c r="BX85" s="377"/>
      <c r="BY85" s="377"/>
      <c r="BZ85" s="377"/>
      <c r="CA85" s="377"/>
      <c r="CB85" s="377"/>
      <c r="CC85" s="377"/>
      <c r="CD85" s="377"/>
      <c r="CE85" s="377"/>
      <c r="CF85" s="377"/>
      <c r="CG85" s="377"/>
      <c r="CH85" s="377"/>
      <c r="CI85" s="377"/>
      <c r="CJ85" s="377"/>
      <c r="CK85" s="377"/>
      <c r="CL85" s="377"/>
      <c r="CM85" s="377"/>
      <c r="CN85" s="377"/>
      <c r="CO85" s="377"/>
      <c r="CP85" s="377"/>
      <c r="CQ85" s="377"/>
      <c r="CR85" s="377"/>
      <c r="CS85" s="377"/>
      <c r="CT85" s="377"/>
      <c r="CU85" s="377"/>
      <c r="CV85" s="377"/>
      <c r="CW85" s="377"/>
      <c r="CX85" s="377"/>
      <c r="CY85" s="377"/>
      <c r="CZ85" s="377"/>
      <c r="DA85" s="377"/>
      <c r="DB85" s="377"/>
      <c r="DC85" s="377"/>
      <c r="DD85" s="377"/>
      <c r="DE85" s="377"/>
      <c r="DF85" s="377"/>
      <c r="DG85" s="377"/>
      <c r="DH85" s="377"/>
      <c r="DI85" s="377"/>
      <c r="DJ85" s="377"/>
      <c r="DK85" s="377"/>
      <c r="DL85" s="377"/>
      <c r="DM85" s="377"/>
      <c r="DN85" s="377"/>
      <c r="DO85" s="377"/>
      <c r="DP85" s="377"/>
      <c r="DQ85" s="377"/>
      <c r="DR85" s="377"/>
      <c r="DS85" s="377"/>
      <c r="DT85" s="377"/>
      <c r="DU85" s="377"/>
      <c r="DV85" s="377"/>
      <c r="DW85" s="377"/>
      <c r="DX85" s="377"/>
      <c r="DY85" s="377"/>
      <c r="DZ85" s="377"/>
      <c r="EA85" s="377"/>
      <c r="EB85" s="377"/>
      <c r="EC85" s="377"/>
      <c r="ED85" s="377"/>
      <c r="EE85" s="377"/>
      <c r="EF85" s="377"/>
      <c r="EG85" s="377"/>
      <c r="EH85" s="377"/>
      <c r="EI85" s="377"/>
      <c r="EJ85" s="377"/>
      <c r="EK85" s="377"/>
      <c r="EL85" s="377"/>
      <c r="EM85" s="377"/>
      <c r="EN85" s="377"/>
      <c r="EO85" s="377"/>
      <c r="EP85" s="377"/>
      <c r="EQ85" s="377"/>
      <c r="ER85" s="377"/>
      <c r="ES85" s="377"/>
      <c r="ET85" s="377"/>
      <c r="EU85" s="377"/>
      <c r="EV85" s="377"/>
      <c r="EW85" s="377"/>
      <c r="EX85" s="377"/>
      <c r="EY85" s="377"/>
      <c r="EZ85" s="377"/>
      <c r="FA85" s="377"/>
      <c r="FB85" s="377"/>
      <c r="FC85" s="377"/>
      <c r="FD85" s="377"/>
      <c r="FE85" s="377"/>
      <c r="FF85" s="377"/>
      <c r="FG85" s="377"/>
      <c r="FH85" s="377"/>
      <c r="FI85" s="377"/>
      <c r="FJ85" s="377"/>
      <c r="FK85" s="377"/>
      <c r="FL85" s="377"/>
      <c r="FM85" s="377"/>
      <c r="FN85" s="377"/>
      <c r="FO85" s="377"/>
      <c r="FP85" s="377"/>
      <c r="FQ85" s="377"/>
      <c r="FR85" s="377"/>
      <c r="FS85" s="377"/>
      <c r="FT85" s="377"/>
      <c r="FU85" s="377"/>
      <c r="FV85" s="377"/>
      <c r="FW85" s="377"/>
      <c r="FX85" s="377"/>
      <c r="FY85" s="377"/>
      <c r="FZ85" s="377"/>
      <c r="GA85" s="377"/>
      <c r="GB85" s="377"/>
      <c r="GC85" s="377"/>
      <c r="GD85" s="377"/>
      <c r="GE85" s="377"/>
      <c r="GF85" s="377"/>
      <c r="GG85" s="377"/>
      <c r="GH85" s="377"/>
      <c r="GI85" s="377"/>
      <c r="GJ85" s="377"/>
      <c r="GK85" s="377"/>
      <c r="GL85" s="377"/>
      <c r="GM85" s="377"/>
      <c r="GN85" s="377"/>
      <c r="GO85" s="377"/>
      <c r="GP85" s="377"/>
      <c r="GQ85" s="377"/>
      <c r="GR85" s="377"/>
      <c r="GS85" s="377"/>
    </row>
    <row r="86" spans="1:201">
      <c r="A86" s="364"/>
      <c r="B86" s="373"/>
      <c r="C86" s="374"/>
      <c r="D86" s="369"/>
      <c r="E86" s="370"/>
      <c r="F86" s="364"/>
      <c r="G86" s="364"/>
      <c r="H86" s="364"/>
      <c r="I86" s="364"/>
      <c r="J86" s="364"/>
      <c r="K86" s="364"/>
      <c r="L86" s="364"/>
      <c r="M86" s="364"/>
      <c r="N86" s="364"/>
      <c r="O86" s="364"/>
      <c r="P86" s="364"/>
      <c r="Q86" s="364"/>
      <c r="R86" s="364"/>
      <c r="S86" s="364"/>
      <c r="T86" s="364"/>
      <c r="U86" s="364"/>
      <c r="V86" s="364"/>
      <c r="W86" s="364"/>
      <c r="X86" s="364"/>
      <c r="Y86" s="364"/>
      <c r="Z86" s="364"/>
      <c r="AA86" s="364"/>
      <c r="AB86" s="364"/>
      <c r="AC86" s="364"/>
      <c r="AD86" s="364"/>
      <c r="AE86" s="364"/>
      <c r="AF86" s="364"/>
      <c r="AG86" s="364"/>
      <c r="AH86" s="364"/>
      <c r="AI86" s="364"/>
      <c r="AJ86" s="364"/>
      <c r="AK86" s="364"/>
      <c r="AL86" s="364"/>
      <c r="AM86" s="364"/>
      <c r="AN86" s="364"/>
      <c r="AO86" s="364"/>
    </row>
    <row r="87" spans="1:201">
      <c r="A87" s="364"/>
      <c r="B87" s="373"/>
      <c r="C87" s="374"/>
      <c r="D87" s="369"/>
      <c r="E87" s="370"/>
      <c r="F87" s="364"/>
      <c r="G87" s="364"/>
      <c r="H87" s="364"/>
      <c r="I87" s="364"/>
      <c r="J87" s="364"/>
      <c r="K87" s="364"/>
      <c r="L87" s="364"/>
      <c r="M87" s="364"/>
      <c r="N87" s="364"/>
      <c r="O87" s="364"/>
      <c r="P87" s="364"/>
      <c r="Q87" s="364"/>
      <c r="R87" s="364"/>
      <c r="S87" s="364"/>
      <c r="T87" s="364"/>
      <c r="U87" s="364"/>
      <c r="V87" s="364"/>
      <c r="W87" s="364"/>
      <c r="X87" s="364"/>
      <c r="Y87" s="364"/>
      <c r="Z87" s="364"/>
      <c r="AA87" s="364"/>
      <c r="AB87" s="364"/>
      <c r="AC87" s="364"/>
      <c r="AD87" s="364"/>
      <c r="AE87" s="364"/>
      <c r="AF87" s="364"/>
      <c r="AG87" s="364"/>
      <c r="AH87" s="364"/>
      <c r="AI87" s="364"/>
      <c r="AJ87" s="364"/>
      <c r="AK87" s="364"/>
      <c r="AL87" s="364"/>
      <c r="AM87" s="364"/>
      <c r="AN87" s="364"/>
      <c r="AO87" s="364"/>
    </row>
    <row r="150" spans="1:201" s="380" customFormat="1">
      <c r="A150" s="379"/>
      <c r="C150" s="381"/>
      <c r="D150" s="382"/>
      <c r="E150" s="383"/>
      <c r="F150" s="365"/>
      <c r="G150" s="365"/>
      <c r="H150" s="365"/>
      <c r="I150" s="365"/>
      <c r="J150" s="365"/>
      <c r="K150" s="365"/>
      <c r="L150" s="365"/>
      <c r="M150" s="365"/>
      <c r="N150" s="365"/>
      <c r="O150" s="365"/>
      <c r="P150" s="365"/>
      <c r="Q150" s="365"/>
      <c r="R150" s="365"/>
      <c r="S150" s="365"/>
      <c r="T150" s="365"/>
      <c r="U150" s="365"/>
      <c r="V150" s="365"/>
      <c r="W150" s="365"/>
      <c r="X150" s="365"/>
      <c r="Y150" s="365"/>
      <c r="Z150" s="365"/>
      <c r="AA150" s="365"/>
      <c r="AB150" s="365"/>
      <c r="AC150" s="365"/>
      <c r="AD150" s="365"/>
      <c r="AE150" s="365"/>
      <c r="AF150" s="365"/>
      <c r="AG150" s="365"/>
      <c r="AH150" s="365"/>
      <c r="AI150" s="365"/>
      <c r="AJ150" s="365"/>
      <c r="AK150" s="365"/>
      <c r="AL150" s="365"/>
      <c r="AM150" s="365"/>
      <c r="AN150" s="365"/>
      <c r="AO150" s="365"/>
      <c r="AP150" s="515"/>
      <c r="AQ150" s="365"/>
      <c r="AR150" s="365"/>
      <c r="AS150" s="365"/>
      <c r="AT150" s="365"/>
      <c r="AU150" s="365"/>
      <c r="AV150" s="365"/>
      <c r="AW150" s="365"/>
      <c r="AX150" s="365"/>
      <c r="AY150" s="365"/>
      <c r="AZ150" s="365"/>
      <c r="BA150" s="365"/>
      <c r="BB150" s="365"/>
      <c r="BC150" s="365"/>
      <c r="BD150" s="365"/>
      <c r="BE150" s="365"/>
      <c r="BF150" s="365"/>
      <c r="BG150" s="365"/>
      <c r="BH150" s="365"/>
      <c r="BI150" s="365"/>
      <c r="BJ150" s="365"/>
      <c r="BK150" s="365"/>
      <c r="BL150" s="365"/>
      <c r="BM150" s="365"/>
      <c r="BN150" s="365"/>
      <c r="BO150" s="365"/>
      <c r="BP150" s="365"/>
      <c r="BQ150" s="365"/>
      <c r="BR150" s="365"/>
      <c r="BS150" s="365"/>
      <c r="BT150" s="365"/>
      <c r="BU150" s="365"/>
      <c r="BV150" s="365"/>
      <c r="BW150" s="365"/>
      <c r="BX150" s="365"/>
      <c r="BY150" s="365"/>
      <c r="BZ150" s="365"/>
      <c r="CA150" s="365"/>
      <c r="CB150" s="365"/>
      <c r="CC150" s="365"/>
      <c r="CD150" s="365"/>
      <c r="CE150" s="365"/>
      <c r="CF150" s="365"/>
      <c r="CG150" s="365"/>
      <c r="CH150" s="365"/>
      <c r="CI150" s="365"/>
      <c r="CJ150" s="365"/>
      <c r="CK150" s="365"/>
      <c r="CL150" s="365"/>
      <c r="CM150" s="365"/>
      <c r="CN150" s="365"/>
      <c r="CO150" s="365"/>
      <c r="CP150" s="365"/>
      <c r="CQ150" s="365"/>
      <c r="CR150" s="365"/>
      <c r="CS150" s="365"/>
      <c r="CT150" s="365"/>
      <c r="CU150" s="365"/>
      <c r="CV150" s="365"/>
      <c r="CW150" s="365"/>
      <c r="CX150" s="365"/>
      <c r="CY150" s="365"/>
      <c r="CZ150" s="365"/>
      <c r="DA150" s="365"/>
      <c r="DB150" s="365"/>
      <c r="DC150" s="365"/>
      <c r="DD150" s="365"/>
      <c r="DE150" s="365"/>
      <c r="DF150" s="365"/>
      <c r="DG150" s="365"/>
      <c r="DH150" s="365"/>
      <c r="DI150" s="365"/>
      <c r="DJ150" s="365"/>
      <c r="DK150" s="365"/>
      <c r="DL150" s="365"/>
      <c r="DM150" s="365"/>
      <c r="DN150" s="365"/>
      <c r="DO150" s="365"/>
      <c r="DP150" s="365"/>
      <c r="DQ150" s="365"/>
      <c r="DR150" s="365"/>
      <c r="DS150" s="365"/>
      <c r="DT150" s="365"/>
      <c r="DU150" s="365"/>
      <c r="DV150" s="365"/>
      <c r="DW150" s="365"/>
      <c r="DX150" s="365"/>
      <c r="DY150" s="365"/>
      <c r="DZ150" s="365"/>
      <c r="EA150" s="365"/>
      <c r="EB150" s="365"/>
      <c r="EC150" s="365"/>
      <c r="ED150" s="365"/>
      <c r="EE150" s="365"/>
      <c r="EF150" s="365"/>
      <c r="EG150" s="365"/>
      <c r="EH150" s="365"/>
      <c r="EI150" s="365"/>
      <c r="EJ150" s="365"/>
      <c r="EK150" s="365"/>
      <c r="EL150" s="365"/>
      <c r="EM150" s="365"/>
      <c r="EN150" s="365"/>
      <c r="EO150" s="365"/>
      <c r="EP150" s="365"/>
      <c r="EQ150" s="365"/>
      <c r="ER150" s="365"/>
      <c r="ES150" s="365"/>
      <c r="ET150" s="365"/>
      <c r="EU150" s="365"/>
      <c r="EV150" s="365"/>
      <c r="EW150" s="365"/>
      <c r="EX150" s="365"/>
      <c r="EY150" s="365"/>
      <c r="EZ150" s="365"/>
      <c r="FA150" s="365"/>
      <c r="FB150" s="365"/>
      <c r="FC150" s="365"/>
      <c r="FD150" s="365"/>
      <c r="FE150" s="365"/>
      <c r="FF150" s="365"/>
      <c r="FG150" s="365"/>
      <c r="FH150" s="365"/>
      <c r="FI150" s="365"/>
      <c r="FJ150" s="365"/>
      <c r="FK150" s="365"/>
      <c r="FL150" s="365"/>
      <c r="FM150" s="365"/>
      <c r="FN150" s="365"/>
      <c r="FO150" s="365"/>
      <c r="FP150" s="365"/>
      <c r="FQ150" s="365"/>
      <c r="FR150" s="365"/>
      <c r="FS150" s="365"/>
      <c r="FT150" s="365"/>
      <c r="FU150" s="365"/>
      <c r="FV150" s="365"/>
      <c r="FW150" s="365"/>
      <c r="FX150" s="365"/>
      <c r="FY150" s="365"/>
      <c r="FZ150" s="365"/>
      <c r="GA150" s="365"/>
      <c r="GB150" s="365"/>
      <c r="GC150" s="365"/>
      <c r="GD150" s="365"/>
      <c r="GE150" s="365"/>
      <c r="GF150" s="365"/>
      <c r="GG150" s="365"/>
      <c r="GH150" s="365"/>
      <c r="GI150" s="365"/>
      <c r="GJ150" s="365"/>
      <c r="GK150" s="365"/>
      <c r="GL150" s="365"/>
      <c r="GM150" s="365"/>
      <c r="GN150" s="365"/>
      <c r="GO150" s="365"/>
      <c r="GP150" s="365"/>
      <c r="GQ150" s="365"/>
      <c r="GR150" s="365"/>
      <c r="GS150" s="365"/>
    </row>
  </sheetData>
  <mergeCells count="445">
    <mergeCell ref="AG7:AO7"/>
    <mergeCell ref="A1:AO1"/>
    <mergeCell ref="A2:AO2"/>
    <mergeCell ref="A3:AO3"/>
    <mergeCell ref="A4:AO4"/>
    <mergeCell ref="A85:E85"/>
    <mergeCell ref="F85:K85"/>
    <mergeCell ref="L85:Q85"/>
    <mergeCell ref="R85:W85"/>
    <mergeCell ref="X85:AC85"/>
    <mergeCell ref="AD85:AI85"/>
    <mergeCell ref="A84:E84"/>
    <mergeCell ref="F84:K84"/>
    <mergeCell ref="L84:Q84"/>
    <mergeCell ref="R84:W84"/>
    <mergeCell ref="X84:AC84"/>
    <mergeCell ref="AD84:AI84"/>
    <mergeCell ref="A83:E83"/>
    <mergeCell ref="F83:K83"/>
    <mergeCell ref="L83:Q83"/>
    <mergeCell ref="R83:W83"/>
    <mergeCell ref="X83:AC83"/>
    <mergeCell ref="AD83:AI83"/>
    <mergeCell ref="A82:B82"/>
    <mergeCell ref="F82:K82"/>
    <mergeCell ref="L82:Q82"/>
    <mergeCell ref="R82:W82"/>
    <mergeCell ref="X82:AC82"/>
    <mergeCell ref="AD82:AI82"/>
    <mergeCell ref="L76:Q76"/>
    <mergeCell ref="R76:W76"/>
    <mergeCell ref="X76:AC76"/>
    <mergeCell ref="AD76:AI76"/>
    <mergeCell ref="F78:K78"/>
    <mergeCell ref="L78:Q78"/>
    <mergeCell ref="R78:W78"/>
    <mergeCell ref="X78:AC78"/>
    <mergeCell ref="AD78:AI78"/>
    <mergeCell ref="A73:A75"/>
    <mergeCell ref="B73:B75"/>
    <mergeCell ref="C73:C75"/>
    <mergeCell ref="D73:D75"/>
    <mergeCell ref="E73:E75"/>
    <mergeCell ref="F73:K73"/>
    <mergeCell ref="A76:A78"/>
    <mergeCell ref="B76:B78"/>
    <mergeCell ref="C76:C78"/>
    <mergeCell ref="D76:D78"/>
    <mergeCell ref="E76:E78"/>
    <mergeCell ref="F76:K76"/>
    <mergeCell ref="AD70:AI70"/>
    <mergeCell ref="F72:K72"/>
    <mergeCell ref="L72:Q72"/>
    <mergeCell ref="R72:W72"/>
    <mergeCell ref="X72:AC72"/>
    <mergeCell ref="AD72:AI72"/>
    <mergeCell ref="AD73:AI73"/>
    <mergeCell ref="F75:K75"/>
    <mergeCell ref="L75:Q75"/>
    <mergeCell ref="R75:W75"/>
    <mergeCell ref="X75:AC75"/>
    <mergeCell ref="AD75:AI75"/>
    <mergeCell ref="L73:Q73"/>
    <mergeCell ref="R73:W73"/>
    <mergeCell ref="X73:AC73"/>
    <mergeCell ref="A70:A72"/>
    <mergeCell ref="B70:B72"/>
    <mergeCell ref="C70:C72"/>
    <mergeCell ref="D70:D72"/>
    <mergeCell ref="E70:E72"/>
    <mergeCell ref="F70:K70"/>
    <mergeCell ref="L67:Q67"/>
    <mergeCell ref="R67:W67"/>
    <mergeCell ref="X67:AC67"/>
    <mergeCell ref="L70:Q70"/>
    <mergeCell ref="R70:W70"/>
    <mergeCell ref="X70:AC70"/>
    <mergeCell ref="AD67:AI67"/>
    <mergeCell ref="F69:K69"/>
    <mergeCell ref="L69:Q69"/>
    <mergeCell ref="R69:W69"/>
    <mergeCell ref="X69:AC69"/>
    <mergeCell ref="AD69:AI69"/>
    <mergeCell ref="A67:A69"/>
    <mergeCell ref="B67:B69"/>
    <mergeCell ref="C67:C69"/>
    <mergeCell ref="D67:D69"/>
    <mergeCell ref="E67:E69"/>
    <mergeCell ref="F67:K67"/>
    <mergeCell ref="L64:Q64"/>
    <mergeCell ref="R64:W64"/>
    <mergeCell ref="X64:AC64"/>
    <mergeCell ref="AD64:AI64"/>
    <mergeCell ref="F66:K66"/>
    <mergeCell ref="L66:Q66"/>
    <mergeCell ref="R66:W66"/>
    <mergeCell ref="X66:AC66"/>
    <mergeCell ref="AD66:AI66"/>
    <mergeCell ref="A61:A63"/>
    <mergeCell ref="B61:B63"/>
    <mergeCell ref="C61:C63"/>
    <mergeCell ref="D61:D63"/>
    <mergeCell ref="E61:E63"/>
    <mergeCell ref="F61:K61"/>
    <mergeCell ref="A64:A66"/>
    <mergeCell ref="B64:B66"/>
    <mergeCell ref="C64:C66"/>
    <mergeCell ref="D64:D66"/>
    <mergeCell ref="E64:E66"/>
    <mergeCell ref="F64:K64"/>
    <mergeCell ref="AD58:AI58"/>
    <mergeCell ref="F60:K60"/>
    <mergeCell ref="L60:Q60"/>
    <mergeCell ref="R60:W60"/>
    <mergeCell ref="X60:AC60"/>
    <mergeCell ref="AD60:AI60"/>
    <mergeCell ref="AD61:AI61"/>
    <mergeCell ref="F63:K63"/>
    <mergeCell ref="L63:Q63"/>
    <mergeCell ref="R63:W63"/>
    <mergeCell ref="X63:AC63"/>
    <mergeCell ref="AD63:AI63"/>
    <mergeCell ref="L61:Q61"/>
    <mergeCell ref="R61:W61"/>
    <mergeCell ref="X61:AC61"/>
    <mergeCell ref="A58:A60"/>
    <mergeCell ref="B58:B60"/>
    <mergeCell ref="C58:C60"/>
    <mergeCell ref="D58:D60"/>
    <mergeCell ref="E58:E60"/>
    <mergeCell ref="F58:K58"/>
    <mergeCell ref="L55:Q55"/>
    <mergeCell ref="R55:W55"/>
    <mergeCell ref="X55:AC55"/>
    <mergeCell ref="L58:Q58"/>
    <mergeCell ref="R58:W58"/>
    <mergeCell ref="X58:AC58"/>
    <mergeCell ref="AD55:AI55"/>
    <mergeCell ref="F57:K57"/>
    <mergeCell ref="L57:Q57"/>
    <mergeCell ref="R57:W57"/>
    <mergeCell ref="X57:AC57"/>
    <mergeCell ref="AD57:AI57"/>
    <mergeCell ref="A55:A57"/>
    <mergeCell ref="B55:B57"/>
    <mergeCell ref="C55:C57"/>
    <mergeCell ref="D55:D57"/>
    <mergeCell ref="E55:E57"/>
    <mergeCell ref="F55:K55"/>
    <mergeCell ref="L52:Q52"/>
    <mergeCell ref="R52:W52"/>
    <mergeCell ref="X52:AC52"/>
    <mergeCell ref="AD52:AI52"/>
    <mergeCell ref="F54:K54"/>
    <mergeCell ref="L54:Q54"/>
    <mergeCell ref="R54:W54"/>
    <mergeCell ref="X54:AC54"/>
    <mergeCell ref="AD54:AI54"/>
    <mergeCell ref="A49:A51"/>
    <mergeCell ref="B49:B51"/>
    <mergeCell ref="C49:C51"/>
    <mergeCell ref="D49:D51"/>
    <mergeCell ref="E49:E51"/>
    <mergeCell ref="F49:K49"/>
    <mergeCell ref="A52:A54"/>
    <mergeCell ref="B52:B54"/>
    <mergeCell ref="C52:C54"/>
    <mergeCell ref="D52:D54"/>
    <mergeCell ref="E52:E54"/>
    <mergeCell ref="F52:K52"/>
    <mergeCell ref="AD46:AI46"/>
    <mergeCell ref="F48:K48"/>
    <mergeCell ref="L48:Q48"/>
    <mergeCell ref="R48:W48"/>
    <mergeCell ref="X48:AC48"/>
    <mergeCell ref="AD48:AI48"/>
    <mergeCell ref="AD49:AI49"/>
    <mergeCell ref="F51:K51"/>
    <mergeCell ref="L51:Q51"/>
    <mergeCell ref="R51:W51"/>
    <mergeCell ref="X51:AC51"/>
    <mergeCell ref="AD51:AI51"/>
    <mergeCell ref="L49:Q49"/>
    <mergeCell ref="R49:W49"/>
    <mergeCell ref="X49:AC49"/>
    <mergeCell ref="A46:A48"/>
    <mergeCell ref="B46:B48"/>
    <mergeCell ref="C46:C48"/>
    <mergeCell ref="D46:D48"/>
    <mergeCell ref="E46:E48"/>
    <mergeCell ref="F46:K46"/>
    <mergeCell ref="L43:Q43"/>
    <mergeCell ref="R43:W43"/>
    <mergeCell ref="X43:AC43"/>
    <mergeCell ref="L46:Q46"/>
    <mergeCell ref="R46:W46"/>
    <mergeCell ref="X46:AC46"/>
    <mergeCell ref="AD43:AI43"/>
    <mergeCell ref="F45:K45"/>
    <mergeCell ref="L45:Q45"/>
    <mergeCell ref="R45:W45"/>
    <mergeCell ref="X45:AC45"/>
    <mergeCell ref="AD45:AI45"/>
    <mergeCell ref="A43:A45"/>
    <mergeCell ref="B43:B45"/>
    <mergeCell ref="C43:C45"/>
    <mergeCell ref="D43:D45"/>
    <mergeCell ref="E43:E45"/>
    <mergeCell ref="F43:K43"/>
    <mergeCell ref="L40:Q40"/>
    <mergeCell ref="R40:W40"/>
    <mergeCell ref="X40:AC40"/>
    <mergeCell ref="AD40:AI40"/>
    <mergeCell ref="F42:K42"/>
    <mergeCell ref="L42:Q42"/>
    <mergeCell ref="R42:W42"/>
    <mergeCell ref="X42:AC42"/>
    <mergeCell ref="AD42:AI42"/>
    <mergeCell ref="A37:A39"/>
    <mergeCell ref="B37:B39"/>
    <mergeCell ref="C37:C39"/>
    <mergeCell ref="D37:D39"/>
    <mergeCell ref="E37:E39"/>
    <mergeCell ref="F37:K37"/>
    <mergeCell ref="A40:A42"/>
    <mergeCell ref="B40:B42"/>
    <mergeCell ref="C40:C42"/>
    <mergeCell ref="D40:D42"/>
    <mergeCell ref="E40:E42"/>
    <mergeCell ref="F40:K40"/>
    <mergeCell ref="AD34:AI34"/>
    <mergeCell ref="F36:K36"/>
    <mergeCell ref="L36:Q36"/>
    <mergeCell ref="R36:W36"/>
    <mergeCell ref="X36:AC36"/>
    <mergeCell ref="AD36:AI36"/>
    <mergeCell ref="AD37:AI37"/>
    <mergeCell ref="F39:K39"/>
    <mergeCell ref="L39:Q39"/>
    <mergeCell ref="R39:W39"/>
    <mergeCell ref="X39:AC39"/>
    <mergeCell ref="AD39:AI39"/>
    <mergeCell ref="L37:Q37"/>
    <mergeCell ref="R37:W37"/>
    <mergeCell ref="X37:AC37"/>
    <mergeCell ref="A34:A36"/>
    <mergeCell ref="B34:B36"/>
    <mergeCell ref="C34:C36"/>
    <mergeCell ref="D34:D36"/>
    <mergeCell ref="E34:E36"/>
    <mergeCell ref="F34:K34"/>
    <mergeCell ref="L31:Q31"/>
    <mergeCell ref="R31:W31"/>
    <mergeCell ref="X31:AC31"/>
    <mergeCell ref="L34:Q34"/>
    <mergeCell ref="R34:W34"/>
    <mergeCell ref="X34:AC34"/>
    <mergeCell ref="AD31:AI31"/>
    <mergeCell ref="F33:K33"/>
    <mergeCell ref="L33:Q33"/>
    <mergeCell ref="R33:W33"/>
    <mergeCell ref="X33:AC33"/>
    <mergeCell ref="AD33:AI33"/>
    <mergeCell ref="A31:A33"/>
    <mergeCell ref="B31:B33"/>
    <mergeCell ref="C31:C33"/>
    <mergeCell ref="D31:D33"/>
    <mergeCell ref="E31:E33"/>
    <mergeCell ref="F31:K31"/>
    <mergeCell ref="L28:Q28"/>
    <mergeCell ref="R28:W28"/>
    <mergeCell ref="X28:AC28"/>
    <mergeCell ref="AD28:AI28"/>
    <mergeCell ref="F30:K30"/>
    <mergeCell ref="L30:Q30"/>
    <mergeCell ref="R30:W30"/>
    <mergeCell ref="X30:AC30"/>
    <mergeCell ref="AD30:AI30"/>
    <mergeCell ref="A25:A27"/>
    <mergeCell ref="B25:B27"/>
    <mergeCell ref="C25:C27"/>
    <mergeCell ref="D25:D27"/>
    <mergeCell ref="E25:E27"/>
    <mergeCell ref="F25:K25"/>
    <mergeCell ref="A28:A30"/>
    <mergeCell ref="B28:B30"/>
    <mergeCell ref="C28:C30"/>
    <mergeCell ref="D28:D30"/>
    <mergeCell ref="E28:E30"/>
    <mergeCell ref="F28:K28"/>
    <mergeCell ref="AD25:AI25"/>
    <mergeCell ref="F27:K27"/>
    <mergeCell ref="L27:Q27"/>
    <mergeCell ref="R27:W27"/>
    <mergeCell ref="X27:AC27"/>
    <mergeCell ref="AD27:AI27"/>
    <mergeCell ref="L25:Q25"/>
    <mergeCell ref="R25:W25"/>
    <mergeCell ref="X25:AC25"/>
    <mergeCell ref="L22:Q22"/>
    <mergeCell ref="R22:W22"/>
    <mergeCell ref="X22:AC22"/>
    <mergeCell ref="AD22:AI22"/>
    <mergeCell ref="F24:K24"/>
    <mergeCell ref="L24:Q24"/>
    <mergeCell ref="R24:W24"/>
    <mergeCell ref="X24:AC24"/>
    <mergeCell ref="AD24:AI24"/>
    <mergeCell ref="A19:A21"/>
    <mergeCell ref="B19:B21"/>
    <mergeCell ref="C19:C21"/>
    <mergeCell ref="D19:D21"/>
    <mergeCell ref="E19:E21"/>
    <mergeCell ref="F19:K19"/>
    <mergeCell ref="A22:A24"/>
    <mergeCell ref="B22:B24"/>
    <mergeCell ref="C22:C24"/>
    <mergeCell ref="D22:D24"/>
    <mergeCell ref="E22:E24"/>
    <mergeCell ref="F22:K22"/>
    <mergeCell ref="AD16:AI16"/>
    <mergeCell ref="F18:K18"/>
    <mergeCell ref="L18:Q18"/>
    <mergeCell ref="R18:W18"/>
    <mergeCell ref="X18:AC18"/>
    <mergeCell ref="AD18:AI18"/>
    <mergeCell ref="AD19:AI19"/>
    <mergeCell ref="F21:K21"/>
    <mergeCell ref="L21:Q21"/>
    <mergeCell ref="R21:W21"/>
    <mergeCell ref="X21:AC21"/>
    <mergeCell ref="AD21:AI21"/>
    <mergeCell ref="L19:Q19"/>
    <mergeCell ref="R19:W19"/>
    <mergeCell ref="X19:AC19"/>
    <mergeCell ref="A16:A18"/>
    <mergeCell ref="B16:B18"/>
    <mergeCell ref="C16:C18"/>
    <mergeCell ref="D16:D18"/>
    <mergeCell ref="E16:E18"/>
    <mergeCell ref="F16:K16"/>
    <mergeCell ref="L16:Q16"/>
    <mergeCell ref="R16:W16"/>
    <mergeCell ref="X16:AC16"/>
    <mergeCell ref="F15:K15"/>
    <mergeCell ref="L15:Q15"/>
    <mergeCell ref="R15:W15"/>
    <mergeCell ref="X15:AC15"/>
    <mergeCell ref="AD15:AI15"/>
    <mergeCell ref="L13:Q13"/>
    <mergeCell ref="R13:W13"/>
    <mergeCell ref="X13:AC13"/>
    <mergeCell ref="A13:A15"/>
    <mergeCell ref="B13:B15"/>
    <mergeCell ref="C13:C15"/>
    <mergeCell ref="D13:D15"/>
    <mergeCell ref="E13:E15"/>
    <mergeCell ref="F13:K13"/>
    <mergeCell ref="A6:K6"/>
    <mergeCell ref="A7:K7"/>
    <mergeCell ref="F8:K8"/>
    <mergeCell ref="A9:AI10"/>
    <mergeCell ref="A11:A12"/>
    <mergeCell ref="B11:B12"/>
    <mergeCell ref="D11:D12"/>
    <mergeCell ref="AJ15:AO15"/>
    <mergeCell ref="AJ16:AO16"/>
    <mergeCell ref="AJ11:AO11"/>
    <mergeCell ref="AJ12:AO12"/>
    <mergeCell ref="AJ13:AO13"/>
    <mergeCell ref="R11:W11"/>
    <mergeCell ref="X11:AC11"/>
    <mergeCell ref="AD11:AI11"/>
    <mergeCell ref="F12:K12"/>
    <mergeCell ref="L12:Q12"/>
    <mergeCell ref="R12:W12"/>
    <mergeCell ref="X12:AC12"/>
    <mergeCell ref="AD12:AI12"/>
    <mergeCell ref="E11:E12"/>
    <mergeCell ref="F11:K11"/>
    <mergeCell ref="L11:Q11"/>
    <mergeCell ref="AD13:AI13"/>
    <mergeCell ref="AJ18:AO18"/>
    <mergeCell ref="AJ19:AO19"/>
    <mergeCell ref="AJ21:AO21"/>
    <mergeCell ref="AJ22:AO22"/>
    <mergeCell ref="AJ24:AO24"/>
    <mergeCell ref="AJ25:AO25"/>
    <mergeCell ref="AJ27:AO27"/>
    <mergeCell ref="AJ28:AO28"/>
    <mergeCell ref="AJ30:AO30"/>
    <mergeCell ref="AJ31:AO31"/>
    <mergeCell ref="AJ33:AO33"/>
    <mergeCell ref="AJ34:AO34"/>
    <mergeCell ref="AJ36:AO36"/>
    <mergeCell ref="AJ37:AO37"/>
    <mergeCell ref="AJ39:AO39"/>
    <mergeCell ref="AJ40:AO40"/>
    <mergeCell ref="AJ42:AO42"/>
    <mergeCell ref="AJ43:AO43"/>
    <mergeCell ref="AJ45:AO45"/>
    <mergeCell ref="AJ46:AO46"/>
    <mergeCell ref="AJ48:AO48"/>
    <mergeCell ref="AJ49:AO49"/>
    <mergeCell ref="AJ51:AO51"/>
    <mergeCell ref="AJ52:AO52"/>
    <mergeCell ref="AJ54:AO54"/>
    <mergeCell ref="AJ75:AO75"/>
    <mergeCell ref="AJ76:AO76"/>
    <mergeCell ref="AJ78:AO78"/>
    <mergeCell ref="AJ82:AO82"/>
    <mergeCell ref="AJ83:AO83"/>
    <mergeCell ref="AJ55:AO55"/>
    <mergeCell ref="AJ57:AO57"/>
    <mergeCell ref="AJ58:AO58"/>
    <mergeCell ref="AJ60:AO60"/>
    <mergeCell ref="AJ61:AO61"/>
    <mergeCell ref="AJ63:AO63"/>
    <mergeCell ref="AJ64:AO64"/>
    <mergeCell ref="AJ66:AO66"/>
    <mergeCell ref="AJ67:AO67"/>
    <mergeCell ref="AJ84:AO84"/>
    <mergeCell ref="AJ85:AO85"/>
    <mergeCell ref="AJ9:AO10"/>
    <mergeCell ref="A79:A81"/>
    <mergeCell ref="B79:B81"/>
    <mergeCell ref="C79:C81"/>
    <mergeCell ref="D79:D81"/>
    <mergeCell ref="E79:E81"/>
    <mergeCell ref="F79:K79"/>
    <mergeCell ref="L79:Q79"/>
    <mergeCell ref="R79:W79"/>
    <mergeCell ref="X79:AC79"/>
    <mergeCell ref="AD79:AI79"/>
    <mergeCell ref="AJ79:AO79"/>
    <mergeCell ref="F81:K81"/>
    <mergeCell ref="L81:Q81"/>
    <mergeCell ref="R81:W81"/>
    <mergeCell ref="X81:AC81"/>
    <mergeCell ref="AD81:AI81"/>
    <mergeCell ref="AJ81:AO81"/>
    <mergeCell ref="AJ69:AO69"/>
    <mergeCell ref="AJ70:AO70"/>
    <mergeCell ref="AJ72:AO72"/>
    <mergeCell ref="AJ73:AO73"/>
  </mergeCells>
  <conditionalFormatting sqref="F23:AI23 F20:AI20 F26:AI26 F29:AI29 F35:AI35 F38:AI38 F41:AI41 F44:AI44 F47:AI47 F50:AI50 F53:AI53 F59:AI59 F56:AI56 F62:AI62 F65:AI65 F68:AI68 F71:AI71 F74:AI74 F77:AI77 F14:AI14 F32:AI32 F17:AI17">
    <cfRule type="cellIs" dxfId="3" priority="6" operator="greaterThan">
      <formula>0</formula>
    </cfRule>
  </conditionalFormatting>
  <conditionalFormatting sqref="AJ23:AO23 AJ17:AO17 AJ20:AO20 AJ26:AO26 AJ29:AO29 AJ35:AO35 AJ38:AO38 AJ41:AO41 AJ44:AO44 AJ47:AO47 AJ50:AO50 AJ53:AO53 AJ59:AO59 AJ56:AO56 AJ62:AO62 AJ65:AO65 AJ68:AO68 AJ71:AO71 AJ74:AO74 AJ77:AO77 AJ14:AO14 AJ32:AO32">
    <cfRule type="cellIs" dxfId="2" priority="5" operator="greaterThan">
      <formula>0</formula>
    </cfRule>
  </conditionalFormatting>
  <conditionalFormatting sqref="F80:AI80">
    <cfRule type="cellIs" dxfId="1" priority="4" operator="greaterThan">
      <formula>0</formula>
    </cfRule>
  </conditionalFormatting>
  <conditionalFormatting sqref="AJ80:AO80">
    <cfRule type="cellIs" dxfId="0" priority="3" operator="greaterThan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87" fitToHeight="3" orientation="landscape" horizontalDpi="300" r:id="rId1"/>
  <rowBreaks count="1" manualBreakCount="1">
    <brk id="48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1"/>
  <sheetViews>
    <sheetView topLeftCell="A40" zoomScaleNormal="100" workbookViewId="0">
      <selection activeCell="E61" sqref="E61"/>
    </sheetView>
  </sheetViews>
  <sheetFormatPr defaultColWidth="9.140625" defaultRowHeight="12.75"/>
  <cols>
    <col min="1" max="1" width="8.5703125" style="350" customWidth="1"/>
    <col min="2" max="2" width="65.28515625" style="336" customWidth="1"/>
    <col min="3" max="3" width="7.28515625" style="335" bestFit="1" customWidth="1"/>
    <col min="4" max="4" width="9.42578125" style="342" bestFit="1" customWidth="1"/>
    <col min="5" max="5" width="9.42578125" style="334" bestFit="1" customWidth="1"/>
    <col min="6" max="6" width="14" style="334" bestFit="1" customWidth="1"/>
    <col min="7" max="7" width="30.7109375" style="341" customWidth="1"/>
    <col min="8" max="8" width="13" style="343" customWidth="1"/>
    <col min="9" max="16384" width="9.140625" style="341"/>
  </cols>
  <sheetData>
    <row r="1" spans="1:8" ht="15" customHeight="1">
      <c r="A1" s="932"/>
      <c r="B1" s="932"/>
      <c r="C1" s="932"/>
      <c r="D1" s="932"/>
      <c r="E1" s="932"/>
      <c r="F1" s="932"/>
    </row>
    <row r="2" spans="1:8">
      <c r="A2" s="932"/>
      <c r="B2" s="932"/>
      <c r="C2" s="932"/>
      <c r="D2" s="932"/>
      <c r="E2" s="932"/>
      <c r="F2" s="932"/>
    </row>
    <row r="3" spans="1:8">
      <c r="A3" s="932"/>
      <c r="B3" s="932"/>
      <c r="C3" s="932"/>
      <c r="D3" s="932"/>
      <c r="E3" s="932"/>
      <c r="F3" s="932"/>
    </row>
    <row r="4" spans="1:8">
      <c r="A4" s="932"/>
      <c r="B4" s="932"/>
      <c r="C4" s="932"/>
      <c r="D4" s="932"/>
      <c r="E4" s="932"/>
      <c r="F4" s="932"/>
    </row>
    <row r="5" spans="1:8" s="339" customFormat="1" ht="15">
      <c r="A5" s="934" t="s">
        <v>2619</v>
      </c>
      <c r="B5" s="935"/>
      <c r="C5" s="935"/>
      <c r="D5" s="342"/>
      <c r="E5" s="936" t="s">
        <v>2617</v>
      </c>
      <c r="F5" s="936"/>
      <c r="H5" s="346"/>
    </row>
    <row r="6" spans="1:8" s="339" customFormat="1" ht="15">
      <c r="A6" s="934" t="s">
        <v>2621</v>
      </c>
      <c r="B6" s="935"/>
      <c r="C6" s="935"/>
      <c r="D6" s="342"/>
      <c r="E6" s="937" t="s">
        <v>2618</v>
      </c>
      <c r="F6" s="937"/>
      <c r="H6" s="346"/>
    </row>
    <row r="7" spans="1:8" s="339" customFormat="1" ht="15">
      <c r="A7" s="611"/>
      <c r="B7" s="612"/>
      <c r="C7" s="612"/>
      <c r="D7" s="342"/>
      <c r="E7" s="937"/>
      <c r="F7" s="936"/>
      <c r="H7" s="346"/>
    </row>
    <row r="8" spans="1:8" s="338" customFormat="1" ht="12.75" customHeight="1">
      <c r="A8" s="938" t="s">
        <v>1941</v>
      </c>
      <c r="B8" s="938"/>
      <c r="C8" s="938"/>
      <c r="D8" s="938"/>
      <c r="E8" s="938"/>
      <c r="F8" s="938"/>
      <c r="H8" s="337"/>
    </row>
    <row r="9" spans="1:8" ht="5.0999999999999996" customHeight="1" thickBot="1">
      <c r="D9" s="622"/>
    </row>
    <row r="10" spans="1:8" s="333" customFormat="1">
      <c r="A10" s="941" t="s">
        <v>1942</v>
      </c>
      <c r="B10" s="943" t="s">
        <v>1487</v>
      </c>
      <c r="C10" s="945" t="s">
        <v>1943</v>
      </c>
      <c r="D10" s="947" t="s">
        <v>1944</v>
      </c>
      <c r="E10" s="947" t="s">
        <v>1945</v>
      </c>
      <c r="F10" s="950" t="s">
        <v>1946</v>
      </c>
      <c r="H10" s="332"/>
    </row>
    <row r="11" spans="1:8" s="333" customFormat="1" ht="12.75" customHeight="1">
      <c r="A11" s="942"/>
      <c r="B11" s="944"/>
      <c r="C11" s="946"/>
      <c r="D11" s="948"/>
      <c r="E11" s="949"/>
      <c r="F11" s="951"/>
      <c r="H11" s="332"/>
    </row>
    <row r="12" spans="1:8" s="348" customFormat="1">
      <c r="A12" s="675">
        <v>1</v>
      </c>
      <c r="B12" s="676" t="s">
        <v>1947</v>
      </c>
      <c r="C12" s="677"/>
      <c r="D12" s="678"/>
      <c r="E12" s="679"/>
      <c r="F12" s="680">
        <f>SUM(F14)</f>
        <v>8611.59</v>
      </c>
    </row>
    <row r="13" spans="1:8" s="348" customFormat="1">
      <c r="A13" s="623" t="s">
        <v>2292</v>
      </c>
      <c r="B13" s="624" t="s">
        <v>1948</v>
      </c>
      <c r="C13" s="625"/>
      <c r="D13" s="626"/>
      <c r="E13" s="627"/>
      <c r="F13" s="628"/>
    </row>
    <row r="14" spans="1:8" s="414" customFormat="1">
      <c r="A14" s="629" t="s">
        <v>2293</v>
      </c>
      <c r="B14" s="630" t="s">
        <v>1605</v>
      </c>
      <c r="C14" s="631" t="s">
        <v>1612</v>
      </c>
      <c r="D14" s="632">
        <v>1</v>
      </c>
      <c r="E14" s="633">
        <f>COMPOSIÇÕES!H23</f>
        <v>8611.59</v>
      </c>
      <c r="F14" s="634">
        <f>ROUND(D14*E14,2)</f>
        <v>8611.59</v>
      </c>
    </row>
    <row r="15" spans="1:8" s="348" customFormat="1">
      <c r="A15" s="635"/>
      <c r="B15" s="636"/>
      <c r="C15" s="635"/>
      <c r="D15" s="638"/>
      <c r="E15" s="639"/>
      <c r="F15" s="640"/>
    </row>
    <row r="16" spans="1:8" s="348" customFormat="1">
      <c r="A16" s="681">
        <v>2</v>
      </c>
      <c r="B16" s="682" t="s">
        <v>1614</v>
      </c>
      <c r="C16" s="681"/>
      <c r="D16" s="683"/>
      <c r="E16" s="684"/>
      <c r="F16" s="685">
        <f>SUM(F17:F22)</f>
        <v>74882.540000000008</v>
      </c>
    </row>
    <row r="17" spans="1:6" s="414" customFormat="1">
      <c r="A17" s="641" t="s">
        <v>2294</v>
      </c>
      <c r="B17" s="630" t="s">
        <v>529</v>
      </c>
      <c r="C17" s="631" t="s">
        <v>13</v>
      </c>
      <c r="D17" s="632">
        <f>M.CALCULO!D10</f>
        <v>11.75</v>
      </c>
      <c r="E17" s="633">
        <f>COMPOSIÇÕES!H38</f>
        <v>311.05</v>
      </c>
      <c r="F17" s="634">
        <f>ROUND(D17*E17,2)</f>
        <v>3654.84</v>
      </c>
    </row>
    <row r="18" spans="1:6" s="414" customFormat="1" ht="58.9" customHeight="1">
      <c r="A18" s="641" t="s">
        <v>2295</v>
      </c>
      <c r="B18" s="630" t="s">
        <v>543</v>
      </c>
      <c r="C18" s="631" t="s">
        <v>13</v>
      </c>
      <c r="D18" s="632">
        <f>M.CALCULO!D11</f>
        <v>79</v>
      </c>
      <c r="E18" s="633">
        <f>COMPOSIÇÕES!H81</f>
        <v>165.3</v>
      </c>
      <c r="F18" s="634">
        <f t="shared" ref="F18:F22" si="0">ROUND(D18*E18,2)</f>
        <v>13058.7</v>
      </c>
    </row>
    <row r="19" spans="1:6" s="414" customFormat="1">
      <c r="A19" s="641" t="s">
        <v>2296</v>
      </c>
      <c r="B19" s="630" t="s">
        <v>95</v>
      </c>
      <c r="C19" s="631" t="s">
        <v>14</v>
      </c>
      <c r="D19" s="632">
        <f>M.CALCULO!D12</f>
        <v>1</v>
      </c>
      <c r="E19" s="633">
        <f>COMPOSIÇÕES!H92</f>
        <v>261.60000000000002</v>
      </c>
      <c r="F19" s="634">
        <f t="shared" si="0"/>
        <v>261.60000000000002</v>
      </c>
    </row>
    <row r="20" spans="1:6" s="414" customFormat="1" ht="24">
      <c r="A20" s="641" t="s">
        <v>2297</v>
      </c>
      <c r="B20" s="630" t="s">
        <v>579</v>
      </c>
      <c r="C20" s="631" t="s">
        <v>14</v>
      </c>
      <c r="D20" s="632">
        <f>M.CALCULO!D13</f>
        <v>1</v>
      </c>
      <c r="E20" s="633">
        <f>COMPOSIÇÕES!H113</f>
        <v>1128.83</v>
      </c>
      <c r="F20" s="634">
        <f t="shared" si="0"/>
        <v>1128.83</v>
      </c>
    </row>
    <row r="21" spans="1:6" s="414" customFormat="1" ht="24">
      <c r="A21" s="641" t="s">
        <v>2298</v>
      </c>
      <c r="B21" s="630" t="s">
        <v>1493</v>
      </c>
      <c r="C21" s="631" t="s">
        <v>13</v>
      </c>
      <c r="D21" s="632">
        <f>M.CALCULO!D14</f>
        <v>263.2</v>
      </c>
      <c r="E21" s="633">
        <f>COMPOSIÇÕES!H129</f>
        <v>19.54</v>
      </c>
      <c r="F21" s="634">
        <f t="shared" si="0"/>
        <v>5142.93</v>
      </c>
    </row>
    <row r="22" spans="1:6" s="414" customFormat="1" ht="24">
      <c r="A22" s="641" t="s">
        <v>2299</v>
      </c>
      <c r="B22" s="630" t="str">
        <f>COMPOSIÇÕES!B131</f>
        <v>LOCAÇÃO DA OBRA, COM USO DE EQUIPAMENTOS TOPOGRÁFICOS, INCLUSIVE TOPOGRAFO E NIVELADOR</v>
      </c>
      <c r="C22" s="631" t="s">
        <v>13</v>
      </c>
      <c r="D22" s="632">
        <f>M.CALCULO!D15</f>
        <v>2667.13</v>
      </c>
      <c r="E22" s="633">
        <f>COMPOSIÇÕES!H147</f>
        <v>19.36</v>
      </c>
      <c r="F22" s="634">
        <f t="shared" si="0"/>
        <v>51635.64</v>
      </c>
    </row>
    <row r="23" spans="1:6" s="348" customFormat="1">
      <c r="A23" s="635"/>
      <c r="B23" s="630"/>
      <c r="C23" s="635"/>
      <c r="D23" s="638"/>
      <c r="E23" s="639"/>
      <c r="F23" s="640"/>
    </row>
    <row r="24" spans="1:6" s="348" customFormat="1">
      <c r="A24" s="681">
        <v>3</v>
      </c>
      <c r="B24" s="682" t="s">
        <v>10</v>
      </c>
      <c r="C24" s="681"/>
      <c r="D24" s="683"/>
      <c r="E24" s="684"/>
      <c r="F24" s="685">
        <f>SUM(F25:F33)</f>
        <v>299712.90000000002</v>
      </c>
    </row>
    <row r="25" spans="1:6" s="414" customFormat="1">
      <c r="A25" s="642" t="s">
        <v>2300</v>
      </c>
      <c r="B25" s="630" t="s">
        <v>11</v>
      </c>
      <c r="C25" s="631" t="s">
        <v>1113</v>
      </c>
      <c r="D25" s="632">
        <f>M.CALCULO!D19</f>
        <v>6</v>
      </c>
      <c r="E25" s="633">
        <f>COMPOSIÇÕES!H156</f>
        <v>12195.78</v>
      </c>
      <c r="F25" s="634">
        <f t="shared" ref="F25:F33" si="1">ROUND(D25*E25,2)</f>
        <v>73174.679999999993</v>
      </c>
    </row>
    <row r="26" spans="1:6" s="414" customFormat="1">
      <c r="A26" s="642" t="s">
        <v>2301</v>
      </c>
      <c r="B26" s="630" t="s">
        <v>2017</v>
      </c>
      <c r="C26" s="631" t="s">
        <v>1113</v>
      </c>
      <c r="D26" s="632">
        <f>M.CALCULO!D20</f>
        <v>4</v>
      </c>
      <c r="E26" s="633">
        <f>COMPOSIÇÕES!H164</f>
        <v>12195.78</v>
      </c>
      <c r="F26" s="634">
        <f t="shared" si="1"/>
        <v>48783.12</v>
      </c>
    </row>
    <row r="27" spans="1:6" s="414" customFormat="1">
      <c r="A27" s="642" t="s">
        <v>2302</v>
      </c>
      <c r="B27" s="630" t="s">
        <v>12</v>
      </c>
      <c r="C27" s="631" t="s">
        <v>1113</v>
      </c>
      <c r="D27" s="632">
        <f>M.CALCULO!D21</f>
        <v>6</v>
      </c>
      <c r="E27" s="633">
        <f>COMPOSIÇÕES!H172</f>
        <v>5018.8599999999997</v>
      </c>
      <c r="F27" s="634">
        <f t="shared" si="1"/>
        <v>30113.16</v>
      </c>
    </row>
    <row r="28" spans="1:6" s="414" customFormat="1">
      <c r="A28" s="642" t="s">
        <v>2303</v>
      </c>
      <c r="B28" s="630" t="s">
        <v>488</v>
      </c>
      <c r="C28" s="631" t="s">
        <v>1113</v>
      </c>
      <c r="D28" s="632">
        <f>M.CALCULO!D22</f>
        <v>12</v>
      </c>
      <c r="E28" s="633">
        <f>COMPOSIÇÕES!H180</f>
        <v>2829.42</v>
      </c>
      <c r="F28" s="634">
        <f t="shared" si="1"/>
        <v>33953.040000000001</v>
      </c>
    </row>
    <row r="29" spans="1:6" s="414" customFormat="1">
      <c r="A29" s="642" t="s">
        <v>2304</v>
      </c>
      <c r="B29" s="630" t="s">
        <v>1365</v>
      </c>
      <c r="C29" s="631" t="s">
        <v>1113</v>
      </c>
      <c r="D29" s="632">
        <f>M.CALCULO!D23</f>
        <v>6</v>
      </c>
      <c r="E29" s="633">
        <f>COMPOSIÇÕES!H188</f>
        <v>2840.87</v>
      </c>
      <c r="F29" s="634">
        <f t="shared" si="1"/>
        <v>17045.22</v>
      </c>
    </row>
    <row r="30" spans="1:6" s="414" customFormat="1">
      <c r="A30" s="642" t="s">
        <v>2305</v>
      </c>
      <c r="B30" s="630" t="s">
        <v>1582</v>
      </c>
      <c r="C30" s="631" t="s">
        <v>1113</v>
      </c>
      <c r="D30" s="632">
        <f>M.CALCULO!D24</f>
        <v>6</v>
      </c>
      <c r="E30" s="633">
        <f>COMPOSIÇÕES!H196</f>
        <v>3502.38</v>
      </c>
      <c r="F30" s="634">
        <f t="shared" si="1"/>
        <v>21014.28</v>
      </c>
    </row>
    <row r="31" spans="1:6" s="414" customFormat="1">
      <c r="A31" s="642" t="s">
        <v>2306</v>
      </c>
      <c r="B31" s="630" t="s">
        <v>1580</v>
      </c>
      <c r="C31" s="631" t="s">
        <v>14</v>
      </c>
      <c r="D31" s="632">
        <f>M.CALCULO!D25</f>
        <v>3960</v>
      </c>
      <c r="E31" s="633">
        <f>COMPOSIÇÕES!H205</f>
        <v>12.75</v>
      </c>
      <c r="F31" s="634">
        <f t="shared" si="1"/>
        <v>50490</v>
      </c>
    </row>
    <row r="32" spans="1:6" s="414" customFormat="1">
      <c r="A32" s="642" t="s">
        <v>2307</v>
      </c>
      <c r="B32" s="630" t="s">
        <v>1949</v>
      </c>
      <c r="C32" s="631" t="s">
        <v>14</v>
      </c>
      <c r="D32" s="632">
        <f>M.CALCULO!D26</f>
        <v>40</v>
      </c>
      <c r="E32" s="633">
        <f>COMPOSIÇÕES!H217</f>
        <v>216.81</v>
      </c>
      <c r="F32" s="634">
        <f t="shared" si="1"/>
        <v>8672.4</v>
      </c>
    </row>
    <row r="33" spans="1:8" s="414" customFormat="1">
      <c r="A33" s="642" t="s">
        <v>2308</v>
      </c>
      <c r="B33" s="630" t="s">
        <v>1950</v>
      </c>
      <c r="C33" s="631" t="s">
        <v>1113</v>
      </c>
      <c r="D33" s="632">
        <f>M.CALCULO!D27</f>
        <v>6</v>
      </c>
      <c r="E33" s="633">
        <f>COMPOSIÇÕES!H225</f>
        <v>2744.5</v>
      </c>
      <c r="F33" s="634">
        <f t="shared" si="1"/>
        <v>16467</v>
      </c>
    </row>
    <row r="34" spans="1:8" s="348" customFormat="1">
      <c r="A34" s="635"/>
      <c r="B34" s="630"/>
      <c r="C34" s="635"/>
      <c r="D34" s="638"/>
      <c r="E34" s="639"/>
      <c r="F34" s="640"/>
    </row>
    <row r="35" spans="1:8" s="348" customFormat="1">
      <c r="A35" s="681">
        <v>4</v>
      </c>
      <c r="B35" s="682" t="s">
        <v>1951</v>
      </c>
      <c r="C35" s="681"/>
      <c r="D35" s="683"/>
      <c r="E35" s="684"/>
      <c r="F35" s="685">
        <f>SUM(F36:F37)</f>
        <v>12619.48</v>
      </c>
    </row>
    <row r="36" spans="1:8" s="414" customFormat="1">
      <c r="A36" s="642" t="s">
        <v>2309</v>
      </c>
      <c r="B36" s="630" t="s">
        <v>1940</v>
      </c>
      <c r="C36" s="631" t="s">
        <v>1113</v>
      </c>
      <c r="D36" s="633">
        <f>M.CALCULO!D31</f>
        <v>6</v>
      </c>
      <c r="E36" s="633">
        <f>COMPOSIÇÕES!H234</f>
        <v>1537.05</v>
      </c>
      <c r="F36" s="634">
        <f t="shared" ref="F36:F37" si="2">ROUND(D36*E36,2)</f>
        <v>9222.2999999999993</v>
      </c>
    </row>
    <row r="37" spans="1:8" s="414" customFormat="1">
      <c r="A37" s="642" t="s">
        <v>2310</v>
      </c>
      <c r="B37" s="630" t="s">
        <v>1952</v>
      </c>
      <c r="C37" s="631" t="s">
        <v>13</v>
      </c>
      <c r="D37" s="633">
        <f>M.CALCULO!D32</f>
        <v>2593.27</v>
      </c>
      <c r="E37" s="633">
        <f>COMPOSIÇÕES!H243</f>
        <v>1.31</v>
      </c>
      <c r="F37" s="634">
        <f t="shared" si="2"/>
        <v>3397.18</v>
      </c>
    </row>
    <row r="38" spans="1:8" s="348" customFormat="1">
      <c r="A38" s="642"/>
      <c r="B38" s="643"/>
      <c r="C38" s="642"/>
      <c r="D38" s="644"/>
      <c r="E38" s="645"/>
      <c r="F38" s="646"/>
    </row>
    <row r="39" spans="1:8" s="348" customFormat="1">
      <c r="A39" s="681">
        <v>5</v>
      </c>
      <c r="B39" s="682" t="s">
        <v>1626</v>
      </c>
      <c r="C39" s="681"/>
      <c r="D39" s="683"/>
      <c r="E39" s="684"/>
      <c r="F39" s="685">
        <f>SUM(F40:F42)</f>
        <v>139082.81</v>
      </c>
    </row>
    <row r="40" spans="1:8" s="414" customFormat="1" ht="36">
      <c r="A40" s="647" t="s">
        <v>2311</v>
      </c>
      <c r="B40" s="630" t="s">
        <v>2239</v>
      </c>
      <c r="C40" s="631" t="s">
        <v>115</v>
      </c>
      <c r="D40" s="633">
        <f>M.CALCULO!D36</f>
        <v>66.97999999999999</v>
      </c>
      <c r="E40" s="633">
        <f>COMPOSIÇÕES!H252</f>
        <v>379.5</v>
      </c>
      <c r="F40" s="634">
        <f t="shared" ref="F40:F42" si="3">ROUND(D40*E40,2)</f>
        <v>25418.91</v>
      </c>
    </row>
    <row r="41" spans="1:8" s="414" customFormat="1" ht="24">
      <c r="A41" s="647" t="s">
        <v>2312</v>
      </c>
      <c r="B41" s="630" t="s">
        <v>2240</v>
      </c>
      <c r="C41" s="631" t="s">
        <v>115</v>
      </c>
      <c r="D41" s="633">
        <f>M.CALCULO!D37</f>
        <v>617.33601806579986</v>
      </c>
      <c r="E41" s="633">
        <f>COMPOSIÇÕES!H260</f>
        <v>182.68</v>
      </c>
      <c r="F41" s="634">
        <f t="shared" si="3"/>
        <v>112774.94</v>
      </c>
    </row>
    <row r="42" spans="1:8" s="414" customFormat="1" ht="24">
      <c r="A42" s="647" t="s">
        <v>2313</v>
      </c>
      <c r="B42" s="630" t="s">
        <v>1992</v>
      </c>
      <c r="C42" s="637" t="s">
        <v>1991</v>
      </c>
      <c r="D42" s="633">
        <f>M.CALCULO!D38</f>
        <v>1234.6720361315997</v>
      </c>
      <c r="E42" s="633">
        <f>COMPOSIÇÕES!H268</f>
        <v>0.72</v>
      </c>
      <c r="F42" s="634">
        <f t="shared" si="3"/>
        <v>888.96</v>
      </c>
    </row>
    <row r="43" spans="1:8" s="348" customFormat="1">
      <c r="A43" s="647"/>
      <c r="B43" s="630"/>
      <c r="C43" s="631"/>
      <c r="D43" s="632"/>
      <c r="E43" s="648"/>
      <c r="F43" s="649"/>
    </row>
    <row r="44" spans="1:8" s="348" customFormat="1">
      <c r="A44" s="686">
        <v>6</v>
      </c>
      <c r="B44" s="682" t="s">
        <v>1467</v>
      </c>
      <c r="C44" s="681"/>
      <c r="D44" s="687"/>
      <c r="E44" s="684"/>
      <c r="F44" s="688">
        <f>SUM(F45:F48)</f>
        <v>81427.51999999999</v>
      </c>
    </row>
    <row r="45" spans="1:8" s="414" customFormat="1" ht="36">
      <c r="A45" s="650" t="s">
        <v>626</v>
      </c>
      <c r="B45" s="630" t="s">
        <v>2210</v>
      </c>
      <c r="C45" s="631" t="s">
        <v>97</v>
      </c>
      <c r="D45" s="632">
        <f>M.CALCULO!D42</f>
        <v>1898.1501000000001</v>
      </c>
      <c r="E45" s="633">
        <f>COMPOSIÇÕES!H281</f>
        <v>4.0696870761000001</v>
      </c>
      <c r="F45" s="634">
        <f>ROUND(D45*E45,2)</f>
        <v>7724.88</v>
      </c>
    </row>
    <row r="46" spans="1:8" s="414" customFormat="1" ht="24">
      <c r="A46" s="650" t="s">
        <v>1160</v>
      </c>
      <c r="B46" s="630" t="s">
        <v>2211</v>
      </c>
      <c r="C46" s="631" t="s">
        <v>2213</v>
      </c>
      <c r="D46" s="632">
        <f>M.CALCULO!D43</f>
        <v>36371.01</v>
      </c>
      <c r="E46" s="633">
        <f>COMPOSIÇÕES!H289</f>
        <v>1.0900000000000001</v>
      </c>
      <c r="F46" s="634">
        <f>ROUND(D46*E46,2)</f>
        <v>39644.400000000001</v>
      </c>
    </row>
    <row r="47" spans="1:8" s="414" customFormat="1" ht="48">
      <c r="A47" s="650" t="s">
        <v>316</v>
      </c>
      <c r="B47" s="630" t="s">
        <v>2212</v>
      </c>
      <c r="C47" s="631" t="s">
        <v>97</v>
      </c>
      <c r="D47" s="632">
        <f>M.CALCULO!D44</f>
        <v>1011.5307</v>
      </c>
      <c r="E47" s="633">
        <f>COMPOSIÇÕES!H298</f>
        <v>30.599999999999998</v>
      </c>
      <c r="F47" s="634">
        <f>ROUND(D47*E47,2)</f>
        <v>30952.84</v>
      </c>
    </row>
    <row r="48" spans="1:8" s="414" customFormat="1" ht="24">
      <c r="A48" s="650" t="s">
        <v>2314</v>
      </c>
      <c r="B48" s="630" t="s">
        <v>1471</v>
      </c>
      <c r="C48" s="631" t="s">
        <v>97</v>
      </c>
      <c r="D48" s="632">
        <f>M.CALCULO!D45</f>
        <v>1011.5307</v>
      </c>
      <c r="E48" s="633">
        <f>COMPOSIÇÕES!H312</f>
        <v>3.07</v>
      </c>
      <c r="F48" s="634">
        <f t="shared" ref="F48" si="4">ROUND(D48*E48,2)</f>
        <v>3105.4</v>
      </c>
      <c r="H48" s="414" t="s">
        <v>1953</v>
      </c>
    </row>
    <row r="49" spans="1:8" s="349" customFormat="1">
      <c r="A49" s="642"/>
      <c r="B49" s="643"/>
      <c r="C49" s="642"/>
      <c r="D49" s="644"/>
      <c r="E49" s="651"/>
      <c r="F49" s="652"/>
      <c r="H49" s="343"/>
    </row>
    <row r="50" spans="1:8">
      <c r="A50" s="681">
        <v>7</v>
      </c>
      <c r="B50" s="682" t="s">
        <v>1954</v>
      </c>
      <c r="C50" s="681"/>
      <c r="D50" s="683"/>
      <c r="E50" s="684"/>
      <c r="F50" s="688">
        <f>SUM(F51:F62)</f>
        <v>756061.65999999992</v>
      </c>
    </row>
    <row r="51" spans="1:8" s="416" customFormat="1">
      <c r="A51" s="641" t="s">
        <v>2315</v>
      </c>
      <c r="B51" s="630" t="s">
        <v>2241</v>
      </c>
      <c r="C51" s="631" t="s">
        <v>15</v>
      </c>
      <c r="D51" s="632">
        <f>M.CALCULO!D49</f>
        <v>90</v>
      </c>
      <c r="E51" s="633">
        <f>COMPOSIÇÕES!H329</f>
        <v>126.95</v>
      </c>
      <c r="F51" s="649">
        <f t="shared" ref="F51:F62" si="5">ROUND(D51*E51,2)</f>
        <v>11425.5</v>
      </c>
      <c r="H51" s="415"/>
    </row>
    <row r="52" spans="1:8" s="416" customFormat="1">
      <c r="A52" s="641" t="s">
        <v>395</v>
      </c>
      <c r="B52" s="630" t="s">
        <v>2242</v>
      </c>
      <c r="C52" s="631" t="s">
        <v>15</v>
      </c>
      <c r="D52" s="632">
        <v>3019</v>
      </c>
      <c r="E52" s="633">
        <f>COMPOSIÇÕES!H345</f>
        <v>165.7</v>
      </c>
      <c r="F52" s="649">
        <f t="shared" ref="F52" si="6">ROUND(D52*E52,2)</f>
        <v>500248.3</v>
      </c>
      <c r="H52" s="415"/>
    </row>
    <row r="53" spans="1:8" s="416" customFormat="1" ht="33.75" customHeight="1">
      <c r="A53" s="641" t="s">
        <v>2316</v>
      </c>
      <c r="B53" s="630" t="s">
        <v>1564</v>
      </c>
      <c r="C53" s="631" t="s">
        <v>97</v>
      </c>
      <c r="D53" s="632">
        <f>M.CALCULO!D51</f>
        <v>307.52519999999998</v>
      </c>
      <c r="E53" s="633">
        <f>COMPOSIÇÕES!H353</f>
        <v>23.470000000000002</v>
      </c>
      <c r="F53" s="649">
        <f t="shared" si="5"/>
        <v>7217.62</v>
      </c>
      <c r="H53" s="415"/>
    </row>
    <row r="54" spans="1:8" s="416" customFormat="1">
      <c r="A54" s="641" t="s">
        <v>2317</v>
      </c>
      <c r="B54" s="630" t="s">
        <v>607</v>
      </c>
      <c r="C54" s="631" t="s">
        <v>97</v>
      </c>
      <c r="D54" s="632">
        <f>M.CALCULO!D52</f>
        <v>70.41659999999996</v>
      </c>
      <c r="E54" s="633">
        <f>COMPOSIÇÕES!H362</f>
        <v>30.599999999999998</v>
      </c>
      <c r="F54" s="649">
        <f t="shared" si="5"/>
        <v>2154.75</v>
      </c>
      <c r="H54" s="415"/>
    </row>
    <row r="55" spans="1:8" s="508" customFormat="1">
      <c r="A55" s="641" t="s">
        <v>2318</v>
      </c>
      <c r="B55" s="630" t="s">
        <v>609</v>
      </c>
      <c r="C55" s="653" t="s">
        <v>13</v>
      </c>
      <c r="D55" s="632">
        <f>M.CALCULO!D53</f>
        <v>429.75200000000007</v>
      </c>
      <c r="E55" s="633">
        <f>COMPOSIÇÕES!H376</f>
        <v>22.819999999999997</v>
      </c>
      <c r="F55" s="649">
        <f t="shared" si="5"/>
        <v>9806.94</v>
      </c>
      <c r="H55" s="415"/>
    </row>
    <row r="56" spans="1:8" s="508" customFormat="1">
      <c r="A56" s="641" t="s">
        <v>2319</v>
      </c>
      <c r="B56" s="630" t="s">
        <v>99</v>
      </c>
      <c r="C56" s="631" t="s">
        <v>16</v>
      </c>
      <c r="D56" s="632">
        <f>M.CALCULO!D54</f>
        <v>1874.2466820000002</v>
      </c>
      <c r="E56" s="633">
        <f>COMPOSIÇÕES!H387</f>
        <v>6.8000000000000007</v>
      </c>
      <c r="F56" s="649">
        <f t="shared" si="5"/>
        <v>12744.88</v>
      </c>
      <c r="H56" s="415"/>
    </row>
    <row r="57" spans="1:8" s="508" customFormat="1">
      <c r="A57" s="641" t="s">
        <v>2320</v>
      </c>
      <c r="B57" s="630" t="s">
        <v>319</v>
      </c>
      <c r="C57" s="631" t="s">
        <v>16</v>
      </c>
      <c r="D57" s="632">
        <f>M.CALCULO!D55</f>
        <v>6833.0512249999992</v>
      </c>
      <c r="E57" s="633">
        <f>COMPOSIÇÕES!H398</f>
        <v>7.07</v>
      </c>
      <c r="F57" s="649">
        <f t="shared" si="5"/>
        <v>48309.67</v>
      </c>
      <c r="H57" s="415"/>
    </row>
    <row r="58" spans="1:8" s="508" customFormat="1">
      <c r="A58" s="641" t="s">
        <v>2321</v>
      </c>
      <c r="B58" s="630" t="s">
        <v>100</v>
      </c>
      <c r="C58" s="631" t="s">
        <v>16</v>
      </c>
      <c r="D58" s="632">
        <f>M.CALCULO!D56</f>
        <v>4502.6018400000003</v>
      </c>
      <c r="E58" s="633">
        <f>COMPOSIÇÕES!H398</f>
        <v>7.07</v>
      </c>
      <c r="F58" s="649">
        <f t="shared" si="5"/>
        <v>31833.4</v>
      </c>
      <c r="H58" s="415"/>
    </row>
    <row r="59" spans="1:8" s="508" customFormat="1">
      <c r="A59" s="641" t="s">
        <v>2322</v>
      </c>
      <c r="B59" s="630" t="s">
        <v>101</v>
      </c>
      <c r="C59" s="631" t="s">
        <v>16</v>
      </c>
      <c r="D59" s="632">
        <f>M.CALCULO!D57</f>
        <v>4253.336956000001</v>
      </c>
      <c r="E59" s="633">
        <f>COMPOSIÇÕES!H398</f>
        <v>7.07</v>
      </c>
      <c r="F59" s="649">
        <f t="shared" si="5"/>
        <v>30071.09</v>
      </c>
      <c r="H59" s="415"/>
    </row>
    <row r="60" spans="1:8" s="508" customFormat="1">
      <c r="A60" s="641" t="s">
        <v>2323</v>
      </c>
      <c r="B60" s="630" t="s">
        <v>1464</v>
      </c>
      <c r="C60" s="631" t="s">
        <v>97</v>
      </c>
      <c r="D60" s="632">
        <f>M.CALCULO!D58</f>
        <v>18.009599999999999</v>
      </c>
      <c r="E60" s="633">
        <f>COMPOSIÇÕES!H441</f>
        <v>126.18</v>
      </c>
      <c r="F60" s="649">
        <f t="shared" si="5"/>
        <v>2272.4499999999998</v>
      </c>
      <c r="H60" s="415"/>
    </row>
    <row r="61" spans="1:8" s="508" customFormat="1" ht="24">
      <c r="A61" s="641" t="s">
        <v>2324</v>
      </c>
      <c r="B61" s="630" t="s">
        <v>498</v>
      </c>
      <c r="C61" s="631" t="s">
        <v>97</v>
      </c>
      <c r="D61" s="632">
        <f>M.CALCULO!D59</f>
        <v>219.09900000000002</v>
      </c>
      <c r="E61" s="633">
        <f>COMPOSIÇÕES!H454</f>
        <v>393.94</v>
      </c>
      <c r="F61" s="649">
        <f t="shared" si="5"/>
        <v>86311.86</v>
      </c>
      <c r="H61" s="415"/>
    </row>
    <row r="62" spans="1:8" s="508" customFormat="1" ht="20.25" customHeight="1">
      <c r="A62" s="641" t="s">
        <v>2325</v>
      </c>
      <c r="B62" s="630" t="s">
        <v>103</v>
      </c>
      <c r="C62" s="631" t="s">
        <v>97</v>
      </c>
      <c r="D62" s="632">
        <f>M.CALCULO!D60</f>
        <v>219.09900000000002</v>
      </c>
      <c r="E62" s="633">
        <f>COMPOSIÇÕES!H464</f>
        <v>62.37</v>
      </c>
      <c r="F62" s="649">
        <f t="shared" si="5"/>
        <v>13665.2</v>
      </c>
      <c r="H62" s="415"/>
    </row>
    <row r="63" spans="1:8" s="349" customFormat="1">
      <c r="A63" s="642"/>
      <c r="B63" s="630"/>
      <c r="C63" s="631"/>
      <c r="D63" s="632"/>
      <c r="E63" s="648"/>
      <c r="F63" s="649"/>
      <c r="H63" s="343"/>
    </row>
    <row r="64" spans="1:8">
      <c r="A64" s="681">
        <v>8</v>
      </c>
      <c r="B64" s="682" t="s">
        <v>1957</v>
      </c>
      <c r="C64" s="681"/>
      <c r="D64" s="683"/>
      <c r="E64" s="684"/>
      <c r="F64" s="688">
        <f>SUM(F65:F78)</f>
        <v>333483.83</v>
      </c>
    </row>
    <row r="65" spans="1:8" s="416" customFormat="1" ht="24">
      <c r="A65" s="654" t="s">
        <v>2326</v>
      </c>
      <c r="B65" s="630" t="s">
        <v>1564</v>
      </c>
      <c r="C65" s="631" t="s">
        <v>97</v>
      </c>
      <c r="D65" s="632">
        <f>M.CALCULO!D64</f>
        <v>119.42684999999992</v>
      </c>
      <c r="E65" s="633">
        <f>COMPOSIÇÕES!H473</f>
        <v>23.470000000000002</v>
      </c>
      <c r="F65" s="649">
        <f t="shared" ref="F65:F78" si="7">ROUND(D65*E65,2)</f>
        <v>2802.95</v>
      </c>
      <c r="H65" s="415"/>
    </row>
    <row r="66" spans="1:8" s="416" customFormat="1">
      <c r="A66" s="654" t="s">
        <v>2327</v>
      </c>
      <c r="B66" s="630" t="s">
        <v>607</v>
      </c>
      <c r="C66" s="631" t="s">
        <v>97</v>
      </c>
      <c r="D66" s="632">
        <f>M.CALCULO!D65</f>
        <v>81.605699999999985</v>
      </c>
      <c r="E66" s="633">
        <f>COMPOSIÇÕES!H482</f>
        <v>30.599999999999998</v>
      </c>
      <c r="F66" s="649">
        <f t="shared" si="7"/>
        <v>2497.13</v>
      </c>
      <c r="H66" s="415"/>
    </row>
    <row r="67" spans="1:8" s="416" customFormat="1">
      <c r="A67" s="654" t="s">
        <v>2328</v>
      </c>
      <c r="B67" s="630" t="s">
        <v>1958</v>
      </c>
      <c r="C67" s="653" t="s">
        <v>13</v>
      </c>
      <c r="D67" s="632">
        <f>M.CALCULO!D66</f>
        <v>702.37</v>
      </c>
      <c r="E67" s="633">
        <f>COMPOSIÇÕES!H497</f>
        <v>66.08</v>
      </c>
      <c r="F67" s="649">
        <f t="shared" si="7"/>
        <v>46412.61</v>
      </c>
      <c r="H67" s="415"/>
    </row>
    <row r="68" spans="1:8" s="416" customFormat="1">
      <c r="A68" s="654" t="s">
        <v>2329</v>
      </c>
      <c r="B68" s="630" t="s">
        <v>393</v>
      </c>
      <c r="C68" s="631" t="s">
        <v>16</v>
      </c>
      <c r="D68" s="632">
        <f>M.CALCULO!D67</f>
        <v>814.60779400000013</v>
      </c>
      <c r="E68" s="633">
        <f>COMPOSIÇÕES!H508</f>
        <v>6.8000000000000007</v>
      </c>
      <c r="F68" s="649">
        <f t="shared" si="7"/>
        <v>5539.33</v>
      </c>
      <c r="H68" s="415"/>
    </row>
    <row r="69" spans="1:8" s="416" customFormat="1">
      <c r="A69" s="654" t="s">
        <v>2330</v>
      </c>
      <c r="B69" s="630" t="s">
        <v>99</v>
      </c>
      <c r="C69" s="631" t="s">
        <v>16</v>
      </c>
      <c r="D69" s="632">
        <f>M.CALCULO!D68</f>
        <v>870.35687200000007</v>
      </c>
      <c r="E69" s="633">
        <f>COMPOSIÇÕES!H508</f>
        <v>6.8000000000000007</v>
      </c>
      <c r="F69" s="649">
        <f t="shared" si="7"/>
        <v>5918.43</v>
      </c>
      <c r="H69" s="415"/>
    </row>
    <row r="70" spans="1:8" s="416" customFormat="1">
      <c r="A70" s="654" t="s">
        <v>2331</v>
      </c>
      <c r="B70" s="630" t="s">
        <v>319</v>
      </c>
      <c r="C70" s="631" t="s">
        <v>16</v>
      </c>
      <c r="D70" s="632">
        <f>M.CALCULO!D69</f>
        <v>3669.3422150000006</v>
      </c>
      <c r="E70" s="633">
        <f>COMPOSIÇÕES!H530</f>
        <v>7.07</v>
      </c>
      <c r="F70" s="649">
        <f t="shared" si="7"/>
        <v>25942.25</v>
      </c>
      <c r="H70" s="415"/>
    </row>
    <row r="71" spans="1:8" s="416" customFormat="1">
      <c r="A71" s="654" t="s">
        <v>2332</v>
      </c>
      <c r="B71" s="630" t="s">
        <v>100</v>
      </c>
      <c r="C71" s="631" t="s">
        <v>16</v>
      </c>
      <c r="D71" s="632">
        <f>M.CALCULO!D70</f>
        <v>4303.9310599999999</v>
      </c>
      <c r="E71" s="633">
        <f>COMPOSIÇÕES!H530</f>
        <v>7.07</v>
      </c>
      <c r="F71" s="649">
        <f t="shared" si="7"/>
        <v>30428.79</v>
      </c>
      <c r="H71" s="415"/>
    </row>
    <row r="72" spans="1:8" s="416" customFormat="1">
      <c r="A72" s="654" t="s">
        <v>2333</v>
      </c>
      <c r="B72" s="630" t="s">
        <v>101</v>
      </c>
      <c r="C72" s="631" t="s">
        <v>16</v>
      </c>
      <c r="D72" s="632">
        <f>M.CALCULO!D71</f>
        <v>5405.3704099999995</v>
      </c>
      <c r="E72" s="633">
        <f>COMPOSIÇÕES!H530</f>
        <v>7.07</v>
      </c>
      <c r="F72" s="649">
        <f t="shared" si="7"/>
        <v>38215.97</v>
      </c>
      <c r="H72" s="415"/>
    </row>
    <row r="73" spans="1:8" s="416" customFormat="1">
      <c r="A73" s="654" t="s">
        <v>2334</v>
      </c>
      <c r="B73" s="630" t="s">
        <v>102</v>
      </c>
      <c r="C73" s="631" t="s">
        <v>16</v>
      </c>
      <c r="D73" s="632">
        <f>M.CALCULO!D72</f>
        <v>5678.9496719999997</v>
      </c>
      <c r="E73" s="633">
        <f>COMPOSIÇÕES!H530</f>
        <v>7.07</v>
      </c>
      <c r="F73" s="649">
        <f t="shared" si="7"/>
        <v>40150.17</v>
      </c>
      <c r="H73" s="415"/>
    </row>
    <row r="74" spans="1:8" s="416" customFormat="1">
      <c r="A74" s="654" t="s">
        <v>2335</v>
      </c>
      <c r="B74" s="630" t="s">
        <v>392</v>
      </c>
      <c r="C74" s="631" t="s">
        <v>16</v>
      </c>
      <c r="D74" s="632">
        <f>M.CALCULO!D73</f>
        <v>751.68819000000019</v>
      </c>
      <c r="E74" s="633">
        <f>COMPOSIÇÕES!H574</f>
        <v>6.47</v>
      </c>
      <c r="F74" s="649">
        <f t="shared" si="7"/>
        <v>4863.42</v>
      </c>
      <c r="H74" s="415"/>
    </row>
    <row r="75" spans="1:8" s="416" customFormat="1">
      <c r="A75" s="654" t="s">
        <v>2336</v>
      </c>
      <c r="B75" s="630" t="s">
        <v>391</v>
      </c>
      <c r="C75" s="631" t="s">
        <v>16</v>
      </c>
      <c r="D75" s="632">
        <f>M.CALCULO!D74</f>
        <v>54.252000000000002</v>
      </c>
      <c r="E75" s="633">
        <f>COMPOSIÇÕES!H574</f>
        <v>6.47</v>
      </c>
      <c r="F75" s="649">
        <f t="shared" si="7"/>
        <v>351.01</v>
      </c>
      <c r="H75" s="415"/>
    </row>
    <row r="76" spans="1:8" s="416" customFormat="1">
      <c r="A76" s="654" t="s">
        <v>2337</v>
      </c>
      <c r="B76" s="630" t="s">
        <v>1329</v>
      </c>
      <c r="C76" s="631" t="s">
        <v>16</v>
      </c>
      <c r="D76" s="632">
        <f>M.CALCULO!D75</f>
        <v>77.815188000000006</v>
      </c>
      <c r="E76" s="633">
        <f>COMPOSIÇÕES!H574</f>
        <v>6.47</v>
      </c>
      <c r="F76" s="649">
        <f t="shared" si="7"/>
        <v>503.46</v>
      </c>
      <c r="H76" s="415"/>
    </row>
    <row r="77" spans="1:8" s="509" customFormat="1" ht="24">
      <c r="A77" s="654" t="s">
        <v>2338</v>
      </c>
      <c r="B77" s="630" t="s">
        <v>499</v>
      </c>
      <c r="C77" s="653" t="s">
        <v>97</v>
      </c>
      <c r="D77" s="632">
        <f>M.CALCULO!D76</f>
        <v>245.4</v>
      </c>
      <c r="E77" s="633">
        <f>COMPOSIÇÕES!H610</f>
        <v>410.25999999999993</v>
      </c>
      <c r="F77" s="649">
        <f t="shared" si="7"/>
        <v>100677.8</v>
      </c>
      <c r="H77" s="413"/>
    </row>
    <row r="78" spans="1:8" s="509" customFormat="1">
      <c r="A78" s="654" t="s">
        <v>2339</v>
      </c>
      <c r="B78" s="630" t="s">
        <v>1965</v>
      </c>
      <c r="C78" s="653" t="s">
        <v>97</v>
      </c>
      <c r="D78" s="632">
        <f>M.CALCULO!D77</f>
        <v>245.4</v>
      </c>
      <c r="E78" s="633">
        <f>COMPOSIÇÕES!H620</f>
        <v>118.91000000000001</v>
      </c>
      <c r="F78" s="649">
        <f t="shared" si="7"/>
        <v>29180.51</v>
      </c>
      <c r="H78" s="413"/>
    </row>
    <row r="79" spans="1:8" s="350" customFormat="1">
      <c r="A79" s="654"/>
      <c r="B79" s="630"/>
      <c r="C79" s="631"/>
      <c r="D79" s="632"/>
      <c r="E79" s="648"/>
      <c r="F79" s="649"/>
      <c r="H79" s="347"/>
    </row>
    <row r="80" spans="1:8">
      <c r="A80" s="686">
        <v>9</v>
      </c>
      <c r="B80" s="682" t="s">
        <v>20</v>
      </c>
      <c r="C80" s="681"/>
      <c r="D80" s="687"/>
      <c r="E80" s="684"/>
      <c r="F80" s="688">
        <f>SUM(F81:F85)</f>
        <v>296387.39999999997</v>
      </c>
    </row>
    <row r="81" spans="1:8" s="416" customFormat="1" ht="24">
      <c r="A81" s="647" t="s">
        <v>2340</v>
      </c>
      <c r="B81" s="630" t="s">
        <v>628</v>
      </c>
      <c r="C81" s="631" t="s">
        <v>16</v>
      </c>
      <c r="D81" s="632">
        <f>M.CALCULO!D81</f>
        <v>22205</v>
      </c>
      <c r="E81" s="633">
        <f>COMPOSIÇÕES!H632</f>
        <v>9.8800000000000008</v>
      </c>
      <c r="F81" s="649">
        <f t="shared" ref="F81:F85" si="8">ROUND(D81*E81,2)</f>
        <v>219385.4</v>
      </c>
      <c r="H81" s="415"/>
    </row>
    <row r="82" spans="1:8" s="416" customFormat="1" ht="24">
      <c r="A82" s="647" t="s">
        <v>2341</v>
      </c>
      <c r="B82" s="630" t="str">
        <f>COMPOSIÇÕES!B634</f>
        <v>COBERTURA COM TELHA GALVALUME 0,50, PERFIL ONDULADO, INCLUSO ACESSORIOS</v>
      </c>
      <c r="C82" s="631" t="s">
        <v>13</v>
      </c>
      <c r="D82" s="632">
        <f>M.CALCULO!D82</f>
        <v>2464.0300000000002</v>
      </c>
      <c r="E82" s="633">
        <f>COMPOSIÇÕES!H644</f>
        <v>28.79</v>
      </c>
      <c r="F82" s="649">
        <f t="shared" si="8"/>
        <v>70939.42</v>
      </c>
      <c r="H82" s="415"/>
    </row>
    <row r="83" spans="1:8" s="416" customFormat="1">
      <c r="A83" s="647" t="s">
        <v>2342</v>
      </c>
      <c r="B83" s="630" t="s">
        <v>667</v>
      </c>
      <c r="C83" s="631" t="s">
        <v>15</v>
      </c>
      <c r="D83" s="632">
        <f>M.CALCULO!D83</f>
        <v>101.8</v>
      </c>
      <c r="E83" s="633">
        <f>COMPOSIÇÕES!H655</f>
        <v>22.32</v>
      </c>
      <c r="F83" s="649">
        <f t="shared" si="8"/>
        <v>2272.1799999999998</v>
      </c>
      <c r="H83" s="415"/>
    </row>
    <row r="84" spans="1:8" s="416" customFormat="1">
      <c r="A84" s="647" t="s">
        <v>1218</v>
      </c>
      <c r="B84" s="630" t="s">
        <v>669</v>
      </c>
      <c r="C84" s="631" t="s">
        <v>15</v>
      </c>
      <c r="D84" s="632">
        <f>M.CALCULO!D84</f>
        <v>45.48</v>
      </c>
      <c r="E84" s="633">
        <f>COMPOSIÇÕES!H668</f>
        <v>41.86</v>
      </c>
      <c r="F84" s="649">
        <f t="shared" si="8"/>
        <v>1903.79</v>
      </c>
      <c r="H84" s="415"/>
    </row>
    <row r="85" spans="1:8" s="416" customFormat="1">
      <c r="A85" s="647" t="s">
        <v>1257</v>
      </c>
      <c r="B85" s="630" t="s">
        <v>1455</v>
      </c>
      <c r="C85" s="631" t="s">
        <v>13</v>
      </c>
      <c r="D85" s="632">
        <f>M.CALCULO!D85</f>
        <v>97.6</v>
      </c>
      <c r="E85" s="633">
        <f>COMPOSIÇÕES!H679</f>
        <v>19.330000000000002</v>
      </c>
      <c r="F85" s="649">
        <f t="shared" si="8"/>
        <v>1886.61</v>
      </c>
      <c r="H85" s="415"/>
    </row>
    <row r="86" spans="1:8" s="349" customFormat="1">
      <c r="A86" s="642"/>
      <c r="B86" s="643"/>
      <c r="C86" s="642"/>
      <c r="D86" s="644"/>
      <c r="E86" s="651"/>
      <c r="F86" s="652"/>
      <c r="H86" s="343"/>
    </row>
    <row r="87" spans="1:8">
      <c r="A87" s="686">
        <v>10</v>
      </c>
      <c r="B87" s="682" t="s">
        <v>21</v>
      </c>
      <c r="C87" s="681"/>
      <c r="D87" s="689"/>
      <c r="E87" s="684"/>
      <c r="F87" s="688">
        <f>SUM(F88:F93)</f>
        <v>15909.630000000001</v>
      </c>
    </row>
    <row r="88" spans="1:8" s="416" customFormat="1" ht="24">
      <c r="A88" s="647" t="s">
        <v>2343</v>
      </c>
      <c r="B88" s="630" t="s">
        <v>1401</v>
      </c>
      <c r="C88" s="631" t="s">
        <v>13</v>
      </c>
      <c r="D88" s="632">
        <f>M.CALCULO!D89</f>
        <v>13.4</v>
      </c>
      <c r="E88" s="633">
        <f>COMPOSIÇÕES!H693</f>
        <v>11.73</v>
      </c>
      <c r="F88" s="649">
        <f t="shared" ref="F88:F92" si="9">ROUND(D88*E88,2)</f>
        <v>157.18</v>
      </c>
      <c r="H88" s="415"/>
    </row>
    <row r="89" spans="1:8" s="416" customFormat="1">
      <c r="A89" s="647" t="s">
        <v>2344</v>
      </c>
      <c r="B89" s="630" t="s">
        <v>676</v>
      </c>
      <c r="C89" s="631" t="s">
        <v>13</v>
      </c>
      <c r="D89" s="632">
        <f>M.CALCULO!D90</f>
        <v>13.4</v>
      </c>
      <c r="E89" s="633">
        <f>COMPOSIÇÕES!H703</f>
        <v>43.31</v>
      </c>
      <c r="F89" s="649">
        <f t="shared" si="9"/>
        <v>580.35</v>
      </c>
      <c r="H89" s="415"/>
    </row>
    <row r="90" spans="1:8" s="416" customFormat="1" ht="24">
      <c r="A90" s="647" t="s">
        <v>2345</v>
      </c>
      <c r="B90" s="630" t="s">
        <v>1402</v>
      </c>
      <c r="C90" s="631" t="s">
        <v>13</v>
      </c>
      <c r="D90" s="632">
        <f>M.CALCULO!D91</f>
        <v>13.4</v>
      </c>
      <c r="E90" s="633">
        <f>COMPOSIÇÕES!H714</f>
        <v>12.41</v>
      </c>
      <c r="F90" s="649">
        <f t="shared" si="9"/>
        <v>166.29</v>
      </c>
      <c r="H90" s="415"/>
    </row>
    <row r="91" spans="1:8" s="416" customFormat="1" ht="24">
      <c r="A91" s="647" t="s">
        <v>2346</v>
      </c>
      <c r="B91" s="630" t="s">
        <v>1403</v>
      </c>
      <c r="C91" s="631" t="s">
        <v>13</v>
      </c>
      <c r="D91" s="632">
        <f>M.CALCULO!D92</f>
        <v>391.1</v>
      </c>
      <c r="E91" s="633">
        <f>COMPOSIÇÕES!H724</f>
        <v>30.970000000000002</v>
      </c>
      <c r="F91" s="649">
        <f t="shared" si="9"/>
        <v>12112.37</v>
      </c>
      <c r="H91" s="415"/>
    </row>
    <row r="92" spans="1:8" s="416" customFormat="1" ht="24">
      <c r="A92" s="647" t="s">
        <v>2347</v>
      </c>
      <c r="B92" s="630" t="s">
        <v>1258</v>
      </c>
      <c r="C92" s="631" t="s">
        <v>13</v>
      </c>
      <c r="D92" s="632">
        <f>M.CALCULO!D93</f>
        <v>1056</v>
      </c>
      <c r="E92" s="633">
        <f>COMPOSIÇÕES!H733</f>
        <v>2.74</v>
      </c>
      <c r="F92" s="649">
        <f t="shared" si="9"/>
        <v>2893.44</v>
      </c>
      <c r="H92" s="415"/>
    </row>
    <row r="93" spans="1:8" s="349" customFormat="1">
      <c r="A93" s="642"/>
      <c r="B93" s="643"/>
      <c r="C93" s="642"/>
      <c r="D93" s="644"/>
      <c r="E93" s="651"/>
      <c r="F93" s="652"/>
      <c r="H93" s="343"/>
    </row>
    <row r="94" spans="1:8">
      <c r="A94" s="681">
        <v>11</v>
      </c>
      <c r="B94" s="682" t="s">
        <v>17</v>
      </c>
      <c r="C94" s="681"/>
      <c r="D94" s="687"/>
      <c r="E94" s="684"/>
      <c r="F94" s="688">
        <f>SUM(F95:F99)</f>
        <v>121345.39000000001</v>
      </c>
    </row>
    <row r="95" spans="1:8" s="416" customFormat="1">
      <c r="A95" s="642" t="s">
        <v>2348</v>
      </c>
      <c r="B95" s="630" t="s">
        <v>523</v>
      </c>
      <c r="C95" s="653" t="s">
        <v>13</v>
      </c>
      <c r="D95" s="648">
        <f>M.CALCULO!D97</f>
        <v>1503.8683999999998</v>
      </c>
      <c r="E95" s="633">
        <f>COMPOSIÇÕES!H745</f>
        <v>38.86</v>
      </c>
      <c r="F95" s="649">
        <f t="shared" ref="F95:F98" si="10">ROUND(D95*E95,2)</f>
        <v>58440.33</v>
      </c>
      <c r="H95" s="415"/>
    </row>
    <row r="96" spans="1:8" s="416" customFormat="1" ht="24">
      <c r="A96" s="642" t="s">
        <v>2349</v>
      </c>
      <c r="B96" s="630" t="s">
        <v>1116</v>
      </c>
      <c r="C96" s="631" t="s">
        <v>13</v>
      </c>
      <c r="D96" s="648">
        <f>M.CALCULO!D98</f>
        <v>127.4042</v>
      </c>
      <c r="E96" s="633">
        <f>COMPOSIÇÕES!H757</f>
        <v>101.68</v>
      </c>
      <c r="F96" s="649">
        <f t="shared" si="10"/>
        <v>12954.46</v>
      </c>
      <c r="H96" s="415"/>
    </row>
    <row r="97" spans="1:8" s="416" customFormat="1" ht="24">
      <c r="A97" s="642" t="s">
        <v>2350</v>
      </c>
      <c r="B97" s="655" t="s">
        <v>1392</v>
      </c>
      <c r="C97" s="631" t="s">
        <v>13</v>
      </c>
      <c r="D97" s="648">
        <f>M.CALCULO!D99</f>
        <v>54.225000000000001</v>
      </c>
      <c r="E97" s="633">
        <f>COMPOSIÇÕES!H765</f>
        <v>135.82</v>
      </c>
      <c r="F97" s="649">
        <f t="shared" si="10"/>
        <v>7364.84</v>
      </c>
      <c r="H97" s="415"/>
    </row>
    <row r="98" spans="1:8" s="416" customFormat="1" ht="21.75" customHeight="1">
      <c r="A98" s="642" t="s">
        <v>2351</v>
      </c>
      <c r="B98" s="655" t="s">
        <v>1561</v>
      </c>
      <c r="C98" s="653" t="s">
        <v>13</v>
      </c>
      <c r="D98" s="648">
        <f>M.CALCULO!D100</f>
        <v>81.954000000000008</v>
      </c>
      <c r="E98" s="633">
        <f>COMPOSIÇÕES!H778</f>
        <v>519.63</v>
      </c>
      <c r="F98" s="649">
        <f t="shared" si="10"/>
        <v>42585.760000000002</v>
      </c>
      <c r="H98" s="415"/>
    </row>
    <row r="99" spans="1:8" s="349" customFormat="1">
      <c r="A99" s="642"/>
      <c r="B99" s="656"/>
      <c r="C99" s="642"/>
      <c r="D99" s="644"/>
      <c r="E99" s="651"/>
      <c r="F99" s="652"/>
      <c r="H99" s="343"/>
    </row>
    <row r="100" spans="1:8">
      <c r="A100" s="686">
        <v>12</v>
      </c>
      <c r="B100" s="682" t="s">
        <v>22</v>
      </c>
      <c r="C100" s="681"/>
      <c r="D100" s="689"/>
      <c r="E100" s="684"/>
      <c r="F100" s="688">
        <f>SUM(F101:F108)</f>
        <v>160366.79999999999</v>
      </c>
    </row>
    <row r="101" spans="1:8" s="416" customFormat="1" ht="24">
      <c r="A101" s="647" t="s">
        <v>2352</v>
      </c>
      <c r="B101" s="630" t="s">
        <v>1404</v>
      </c>
      <c r="C101" s="631" t="s">
        <v>13</v>
      </c>
      <c r="D101" s="632">
        <f>M.CALCULO!D104</f>
        <v>3007.7367999999997</v>
      </c>
      <c r="E101" s="633">
        <f>COMPOSIÇÕES!H790</f>
        <v>3.59</v>
      </c>
      <c r="F101" s="649">
        <f t="shared" ref="F101:F107" si="11">ROUND(D101*E101,2)</f>
        <v>10797.78</v>
      </c>
      <c r="H101" s="415"/>
    </row>
    <row r="102" spans="1:8" s="416" customFormat="1" ht="24">
      <c r="A102" s="647" t="s">
        <v>2353</v>
      </c>
      <c r="B102" s="630" t="s">
        <v>1405</v>
      </c>
      <c r="C102" s="631" t="s">
        <v>13</v>
      </c>
      <c r="D102" s="632">
        <f>M.CALCULO!D105</f>
        <v>424.53679999999986</v>
      </c>
      <c r="E102" s="633">
        <f>COMPOSIÇÕES!H803</f>
        <v>20.59</v>
      </c>
      <c r="F102" s="649">
        <f t="shared" si="11"/>
        <v>8741.2099999999991</v>
      </c>
      <c r="H102" s="415"/>
    </row>
    <row r="103" spans="1:8" s="416" customFormat="1" ht="24">
      <c r="A103" s="647" t="s">
        <v>2354</v>
      </c>
      <c r="B103" s="630" t="s">
        <v>1406</v>
      </c>
      <c r="C103" s="631" t="s">
        <v>13</v>
      </c>
      <c r="D103" s="632">
        <f>M.CALCULO!D106</f>
        <v>2583.1999999999998</v>
      </c>
      <c r="E103" s="633">
        <f>COMPOSIÇÕES!H813</f>
        <v>33.83</v>
      </c>
      <c r="F103" s="649">
        <f t="shared" si="11"/>
        <v>87389.66</v>
      </c>
      <c r="H103" s="415"/>
    </row>
    <row r="104" spans="1:8" s="416" customFormat="1" ht="24">
      <c r="A104" s="647" t="s">
        <v>2355</v>
      </c>
      <c r="B104" s="630" t="s">
        <v>494</v>
      </c>
      <c r="C104" s="631" t="s">
        <v>13</v>
      </c>
      <c r="D104" s="632">
        <f>M.CALCULO!D107</f>
        <v>424.53679999999986</v>
      </c>
      <c r="E104" s="633">
        <f>COMPOSIÇÕES!H825</f>
        <v>103.5</v>
      </c>
      <c r="F104" s="649">
        <f t="shared" si="11"/>
        <v>43939.56</v>
      </c>
      <c r="H104" s="415"/>
    </row>
    <row r="105" spans="1:8" s="416" customFormat="1" ht="24">
      <c r="A105" s="647" t="s">
        <v>359</v>
      </c>
      <c r="B105" s="630" t="s">
        <v>1106</v>
      </c>
      <c r="C105" s="631" t="s">
        <v>13</v>
      </c>
      <c r="D105" s="632">
        <f>M.CALCULO!D108</f>
        <v>4.8800000000000008</v>
      </c>
      <c r="E105" s="633">
        <f>COMPOSIÇÕES!H834</f>
        <v>276.05</v>
      </c>
      <c r="F105" s="649">
        <f t="shared" si="11"/>
        <v>1347.12</v>
      </c>
      <c r="H105" s="415"/>
    </row>
    <row r="106" spans="1:8" s="416" customFormat="1" ht="24">
      <c r="A106" s="647" t="s">
        <v>2356</v>
      </c>
      <c r="B106" s="630" t="s">
        <v>1966</v>
      </c>
      <c r="C106" s="631" t="s">
        <v>13</v>
      </c>
      <c r="D106" s="632">
        <f>M.CALCULO!D109</f>
        <v>18.299999999999997</v>
      </c>
      <c r="E106" s="633">
        <f>COMPOSIÇÕES!H848</f>
        <v>274.47000000000003</v>
      </c>
      <c r="F106" s="649">
        <f t="shared" si="11"/>
        <v>5022.8</v>
      </c>
      <c r="H106" s="415"/>
    </row>
    <row r="107" spans="1:8" s="416" customFormat="1">
      <c r="A107" s="647" t="s">
        <v>2357</v>
      </c>
      <c r="B107" s="630" t="s">
        <v>1430</v>
      </c>
      <c r="C107" s="631" t="s">
        <v>13</v>
      </c>
      <c r="D107" s="632">
        <f>M.CALCULO!D110</f>
        <v>11.268000000000001</v>
      </c>
      <c r="E107" s="633">
        <f>COMPOSIÇÕES!H857</f>
        <v>277.65999999999997</v>
      </c>
      <c r="F107" s="649">
        <f t="shared" si="11"/>
        <v>3128.67</v>
      </c>
      <c r="H107" s="415"/>
    </row>
    <row r="108" spans="1:8" s="349" customFormat="1">
      <c r="A108" s="642"/>
      <c r="B108" s="643"/>
      <c r="C108" s="642"/>
      <c r="D108" s="644"/>
      <c r="E108" s="651"/>
      <c r="F108" s="652"/>
      <c r="H108" s="343"/>
    </row>
    <row r="109" spans="1:8">
      <c r="A109" s="686">
        <v>13</v>
      </c>
      <c r="B109" s="682" t="s">
        <v>1230</v>
      </c>
      <c r="C109" s="681"/>
      <c r="D109" s="687"/>
      <c r="E109" s="684"/>
      <c r="F109" s="688">
        <f>SUM(F110:F113)</f>
        <v>24582.87</v>
      </c>
    </row>
    <row r="110" spans="1:8" s="416" customFormat="1" ht="24">
      <c r="A110" s="647" t="s">
        <v>2358</v>
      </c>
      <c r="B110" s="630" t="s">
        <v>1408</v>
      </c>
      <c r="C110" s="631" t="s">
        <v>13</v>
      </c>
      <c r="D110" s="657">
        <f>M.CALCULO!D114</f>
        <v>316.86330000000004</v>
      </c>
      <c r="E110" s="633">
        <f>COMPOSIÇÕES!H869</f>
        <v>6.6000000000000005</v>
      </c>
      <c r="F110" s="649">
        <f t="shared" ref="F110:F112" si="12">ROUND(D110*E110,2)</f>
        <v>2091.3000000000002</v>
      </c>
      <c r="H110" s="415"/>
    </row>
    <row r="111" spans="1:8" s="416" customFormat="1" ht="24">
      <c r="A111" s="647" t="s">
        <v>2359</v>
      </c>
      <c r="B111" s="630" t="s">
        <v>1409</v>
      </c>
      <c r="C111" s="631" t="s">
        <v>13</v>
      </c>
      <c r="D111" s="657">
        <f>M.CALCULO!D115</f>
        <v>316.86330000000004</v>
      </c>
      <c r="E111" s="633">
        <f>COMPOSIÇÕES!H879</f>
        <v>17.62</v>
      </c>
      <c r="F111" s="649">
        <f t="shared" si="12"/>
        <v>5583.13</v>
      </c>
      <c r="H111" s="415"/>
    </row>
    <row r="112" spans="1:8" s="416" customFormat="1" ht="24">
      <c r="A112" s="647" t="s">
        <v>2360</v>
      </c>
      <c r="B112" s="630" t="s">
        <v>313</v>
      </c>
      <c r="C112" s="631" t="s">
        <v>13</v>
      </c>
      <c r="D112" s="657">
        <f>M.CALCULO!D116</f>
        <v>274.22059999999999</v>
      </c>
      <c r="E112" s="633">
        <f>COMPOSIÇÕES!H892</f>
        <v>61.66</v>
      </c>
      <c r="F112" s="649">
        <f t="shared" si="12"/>
        <v>16908.439999999999</v>
      </c>
      <c r="H112" s="415"/>
    </row>
    <row r="113" spans="1:8" s="349" customFormat="1">
      <c r="A113" s="642"/>
      <c r="B113" s="643"/>
      <c r="C113" s="642"/>
      <c r="D113" s="644"/>
      <c r="E113" s="651"/>
      <c r="F113" s="652"/>
      <c r="H113" s="343"/>
    </row>
    <row r="114" spans="1:8">
      <c r="A114" s="686">
        <v>14</v>
      </c>
      <c r="B114" s="682" t="s">
        <v>23</v>
      </c>
      <c r="C114" s="681"/>
      <c r="D114" s="687"/>
      <c r="E114" s="684"/>
      <c r="F114" s="688">
        <f>SUM(F115:F125)</f>
        <v>285935.29000000004</v>
      </c>
    </row>
    <row r="115" spans="1:8" s="416" customFormat="1" ht="24">
      <c r="A115" s="647" t="s">
        <v>24</v>
      </c>
      <c r="B115" s="630" t="s">
        <v>1967</v>
      </c>
      <c r="C115" s="631" t="s">
        <v>13</v>
      </c>
      <c r="D115" s="632">
        <f>M.CALCULO!D120</f>
        <v>1121.5733</v>
      </c>
      <c r="E115" s="633">
        <f>COMPOSIÇÕES!H903</f>
        <v>28.28</v>
      </c>
      <c r="F115" s="649">
        <f t="shared" ref="F115:F124" si="13">ROUND(D115*E115,2)</f>
        <v>31718.09</v>
      </c>
      <c r="H115" s="415"/>
    </row>
    <row r="116" spans="1:8" s="416" customFormat="1" ht="50.25" customHeight="1">
      <c r="A116" s="647" t="s">
        <v>25</v>
      </c>
      <c r="B116" s="630" t="s">
        <v>1401</v>
      </c>
      <c r="C116" s="631" t="s">
        <v>13</v>
      </c>
      <c r="D116" s="632">
        <f>M.CALCULO!D121</f>
        <v>994.51529999999991</v>
      </c>
      <c r="E116" s="633">
        <f>COMPOSIÇÕES!H916</f>
        <v>11.96</v>
      </c>
      <c r="F116" s="649">
        <f t="shared" si="13"/>
        <v>11894.4</v>
      </c>
      <c r="H116" s="415"/>
    </row>
    <row r="117" spans="1:8" s="416" customFormat="1" ht="24">
      <c r="A117" s="647" t="s">
        <v>111</v>
      </c>
      <c r="B117" s="630" t="s">
        <v>1437</v>
      </c>
      <c r="C117" s="631" t="s">
        <v>13</v>
      </c>
      <c r="D117" s="632">
        <f>M.CALCULO!D122</f>
        <v>127.05800000000001</v>
      </c>
      <c r="E117" s="633">
        <f>COMPOSIÇÕES!H929</f>
        <v>46.089999999999996</v>
      </c>
      <c r="F117" s="649">
        <f t="shared" si="13"/>
        <v>5856.1</v>
      </c>
      <c r="H117" s="415"/>
    </row>
    <row r="118" spans="1:8" s="416" customFormat="1">
      <c r="A118" s="647" t="s">
        <v>1364</v>
      </c>
      <c r="B118" s="630" t="s">
        <v>1567</v>
      </c>
      <c r="C118" s="631" t="s">
        <v>13</v>
      </c>
      <c r="D118" s="632">
        <f>M.CALCULO!D123</f>
        <v>994.51529999999991</v>
      </c>
      <c r="E118" s="633">
        <f>COMPOSIÇÕES!H942</f>
        <v>70.41</v>
      </c>
      <c r="F118" s="649">
        <f t="shared" si="13"/>
        <v>70023.820000000007</v>
      </c>
      <c r="H118" s="415"/>
    </row>
    <row r="119" spans="1:8" s="416" customFormat="1" ht="36">
      <c r="A119" s="647" t="s">
        <v>2361</v>
      </c>
      <c r="B119" s="630" t="s">
        <v>1238</v>
      </c>
      <c r="C119" s="631" t="s">
        <v>13</v>
      </c>
      <c r="D119" s="632">
        <f>M.CALCULO!D124</f>
        <v>1056</v>
      </c>
      <c r="E119" s="633">
        <f>COMPOSIÇÕES!H958</f>
        <v>92.680000000000021</v>
      </c>
      <c r="F119" s="649">
        <f t="shared" si="13"/>
        <v>97870.080000000002</v>
      </c>
      <c r="H119" s="415"/>
    </row>
    <row r="120" spans="1:8" s="416" customFormat="1" ht="36">
      <c r="A120" s="647" t="s">
        <v>2362</v>
      </c>
      <c r="B120" s="630" t="s">
        <v>1242</v>
      </c>
      <c r="C120" s="631" t="s">
        <v>13</v>
      </c>
      <c r="D120" s="632">
        <f>M.CALCULO!D125</f>
        <v>318.52800000000002</v>
      </c>
      <c r="E120" s="633">
        <f>COMPOSIÇÕES!H976</f>
        <v>43.169999999999995</v>
      </c>
      <c r="F120" s="649">
        <f t="shared" si="13"/>
        <v>13750.85</v>
      </c>
      <c r="H120" s="415"/>
    </row>
    <row r="121" spans="1:8" s="416" customFormat="1" ht="24">
      <c r="A121" s="647" t="s">
        <v>2363</v>
      </c>
      <c r="B121" s="630" t="s">
        <v>249</v>
      </c>
      <c r="C121" s="631" t="s">
        <v>15</v>
      </c>
      <c r="D121" s="632">
        <f>M.CALCULO!D126</f>
        <v>239.13</v>
      </c>
      <c r="E121" s="633">
        <f>COMPOSIÇÕES!H988</f>
        <v>6.22</v>
      </c>
      <c r="F121" s="649">
        <f t="shared" si="13"/>
        <v>1487.39</v>
      </c>
      <c r="H121" s="415"/>
    </row>
    <row r="122" spans="1:8" s="416" customFormat="1">
      <c r="A122" s="647" t="s">
        <v>2364</v>
      </c>
      <c r="B122" s="630" t="s">
        <v>1448</v>
      </c>
      <c r="C122" s="631" t="s">
        <v>15</v>
      </c>
      <c r="D122" s="632">
        <f>M.CALCULO!D127</f>
        <v>10.199999999999999</v>
      </c>
      <c r="E122" s="633">
        <f>COMPOSIÇÕES!H999</f>
        <v>111.25814749999999</v>
      </c>
      <c r="F122" s="649">
        <f t="shared" si="13"/>
        <v>1134.83</v>
      </c>
      <c r="H122" s="415"/>
    </row>
    <row r="123" spans="1:8" s="416" customFormat="1" ht="36">
      <c r="A123" s="647" t="s">
        <v>2365</v>
      </c>
      <c r="B123" s="630" t="s">
        <v>2032</v>
      </c>
      <c r="C123" s="631" t="s">
        <v>13</v>
      </c>
      <c r="D123" s="632">
        <f>M.CALCULO!D128</f>
        <v>1311.6100000000001</v>
      </c>
      <c r="E123" s="633">
        <f>COMPOSIÇÕES!H1014</f>
        <v>30.780740000000002</v>
      </c>
      <c r="F123" s="649">
        <f t="shared" si="13"/>
        <v>40372.33</v>
      </c>
      <c r="H123" s="415"/>
    </row>
    <row r="124" spans="1:8" s="416" customFormat="1" ht="36">
      <c r="A124" s="647" t="s">
        <v>2366</v>
      </c>
      <c r="B124" s="630" t="s">
        <v>2095</v>
      </c>
      <c r="C124" s="631" t="s">
        <v>15</v>
      </c>
      <c r="D124" s="632">
        <f>M.CALCULO!D129</f>
        <v>244.51999999999998</v>
      </c>
      <c r="E124" s="633">
        <f>COMPOSIÇÕES!H1027</f>
        <v>48.369855000000001</v>
      </c>
      <c r="F124" s="649">
        <f t="shared" si="13"/>
        <v>11827.4</v>
      </c>
      <c r="H124" s="415"/>
    </row>
    <row r="125" spans="1:8" s="349" customFormat="1">
      <c r="A125" s="642"/>
      <c r="B125" s="643"/>
      <c r="C125" s="642"/>
      <c r="D125" s="644"/>
      <c r="E125" s="651"/>
      <c r="F125" s="652"/>
      <c r="H125" s="343"/>
    </row>
    <row r="126" spans="1:8">
      <c r="A126" s="686">
        <v>15</v>
      </c>
      <c r="B126" s="682" t="s">
        <v>3</v>
      </c>
      <c r="C126" s="681"/>
      <c r="D126" s="683"/>
      <c r="E126" s="684"/>
      <c r="F126" s="688">
        <f>SUM(F127:F133)</f>
        <v>131631.83000000002</v>
      </c>
    </row>
    <row r="127" spans="1:8" s="416" customFormat="1" ht="24">
      <c r="A127" s="647" t="s">
        <v>2367</v>
      </c>
      <c r="B127" s="630" t="s">
        <v>1434</v>
      </c>
      <c r="C127" s="631" t="s">
        <v>13</v>
      </c>
      <c r="D127" s="632">
        <f>M.CALCULO!D133</f>
        <v>2900.0632999999998</v>
      </c>
      <c r="E127" s="633">
        <f>COMPOSIÇÕES!H1039</f>
        <v>10.42</v>
      </c>
      <c r="F127" s="649">
        <f t="shared" ref="F127:F133" si="14">ROUND(D127*E127,2)</f>
        <v>30218.66</v>
      </c>
      <c r="H127" s="415"/>
    </row>
    <row r="128" spans="1:8" s="416" customFormat="1" ht="24">
      <c r="A128" s="647" t="s">
        <v>2368</v>
      </c>
      <c r="B128" s="630" t="s">
        <v>1105</v>
      </c>
      <c r="C128" s="631" t="s">
        <v>13</v>
      </c>
      <c r="D128" s="632">
        <f>M.CALCULO!D134</f>
        <v>3062.44</v>
      </c>
      <c r="E128" s="633">
        <f>COMPOSIÇÕES!H1049</f>
        <v>2.2400000000000002</v>
      </c>
      <c r="F128" s="649">
        <f t="shared" si="14"/>
        <v>6859.87</v>
      </c>
      <c r="H128" s="415"/>
    </row>
    <row r="129" spans="1:8" s="416" customFormat="1" ht="24">
      <c r="A129" s="647" t="s">
        <v>2369</v>
      </c>
      <c r="B129" s="630" t="s">
        <v>1030</v>
      </c>
      <c r="C129" s="631" t="s">
        <v>13</v>
      </c>
      <c r="D129" s="632">
        <f>M.CALCULO!D135</f>
        <v>3062.44</v>
      </c>
      <c r="E129" s="633">
        <f>COMPOSIÇÕES!H1060</f>
        <v>7.25</v>
      </c>
      <c r="F129" s="649">
        <f t="shared" si="14"/>
        <v>22202.69</v>
      </c>
      <c r="H129" s="415"/>
    </row>
    <row r="130" spans="1:8" s="416" customFormat="1" ht="36">
      <c r="A130" s="647" t="s">
        <v>2370</v>
      </c>
      <c r="B130" s="630" t="s">
        <v>1032</v>
      </c>
      <c r="C130" s="631" t="s">
        <v>13</v>
      </c>
      <c r="D130" s="632">
        <f>M.CALCULO!D136</f>
        <v>2561.63</v>
      </c>
      <c r="E130" s="633">
        <f>COMPOSIÇÕES!H1073</f>
        <v>9.5500000000000007</v>
      </c>
      <c r="F130" s="649">
        <f t="shared" si="14"/>
        <v>24463.57</v>
      </c>
      <c r="H130" s="415"/>
    </row>
    <row r="131" spans="1:8" s="416" customFormat="1">
      <c r="A131" s="647" t="s">
        <v>2371</v>
      </c>
      <c r="B131" s="630" t="s">
        <v>307</v>
      </c>
      <c r="C131" s="631" t="s">
        <v>13</v>
      </c>
      <c r="D131" s="632">
        <f>M.CALCULO!D137</f>
        <v>811.26</v>
      </c>
      <c r="E131" s="633">
        <f>COMPOSIÇÕES!H1086</f>
        <v>19.41</v>
      </c>
      <c r="F131" s="649">
        <f t="shared" si="14"/>
        <v>15746.56</v>
      </c>
      <c r="H131" s="415"/>
    </row>
    <row r="132" spans="1:8" s="416" customFormat="1" ht="24">
      <c r="A132" s="647" t="s">
        <v>2372</v>
      </c>
      <c r="B132" s="630" t="s">
        <v>303</v>
      </c>
      <c r="C132" s="631" t="s">
        <v>15</v>
      </c>
      <c r="D132" s="632">
        <f>M.CALCULO!D138</f>
        <v>620.65</v>
      </c>
      <c r="E132" s="633">
        <f>COMPOSIÇÕES!H1097</f>
        <v>5.5400000000000009</v>
      </c>
      <c r="F132" s="649">
        <f t="shared" si="14"/>
        <v>3438.4</v>
      </c>
      <c r="H132" s="415"/>
    </row>
    <row r="133" spans="1:8" s="416" customFormat="1">
      <c r="A133" s="647" t="s">
        <v>2373</v>
      </c>
      <c r="B133" s="630" t="s">
        <v>2052</v>
      </c>
      <c r="C133" s="631" t="s">
        <v>13</v>
      </c>
      <c r="D133" s="632">
        <f>M.CALCULO!D139</f>
        <v>1056</v>
      </c>
      <c r="E133" s="633">
        <f>COMPOSIÇÕES!H1107</f>
        <v>27.18</v>
      </c>
      <c r="F133" s="649">
        <f t="shared" si="14"/>
        <v>28702.080000000002</v>
      </c>
      <c r="H133" s="415"/>
    </row>
    <row r="134" spans="1:8" s="349" customFormat="1">
      <c r="A134" s="642"/>
      <c r="B134" s="643"/>
      <c r="C134" s="642"/>
      <c r="D134" s="644"/>
      <c r="E134" s="651"/>
      <c r="F134" s="652"/>
      <c r="H134" s="343"/>
    </row>
    <row r="135" spans="1:8">
      <c r="A135" s="690">
        <v>16</v>
      </c>
      <c r="B135" s="682" t="s">
        <v>18</v>
      </c>
      <c r="C135" s="681"/>
      <c r="D135" s="687"/>
      <c r="E135" s="684"/>
      <c r="F135" s="688">
        <f>SUM(F136:F146)</f>
        <v>174093.87</v>
      </c>
    </row>
    <row r="136" spans="1:8" s="416" customFormat="1">
      <c r="A136" s="654" t="s">
        <v>910</v>
      </c>
      <c r="B136" s="630" t="s">
        <v>222</v>
      </c>
      <c r="C136" s="631" t="s">
        <v>13</v>
      </c>
      <c r="D136" s="632">
        <f>M.CALCULO!D143</f>
        <v>20.665000000000003</v>
      </c>
      <c r="E136" s="633">
        <f>COMPOSIÇÕES!H1125</f>
        <v>173.57</v>
      </c>
      <c r="F136" s="649">
        <f t="shared" ref="F136:F145" si="15">ROUND(D136*E136,2)</f>
        <v>3586.82</v>
      </c>
      <c r="H136" s="415"/>
    </row>
    <row r="137" spans="1:8" s="416" customFormat="1" ht="24">
      <c r="A137" s="654" t="s">
        <v>918</v>
      </c>
      <c r="B137" s="630" t="s">
        <v>1070</v>
      </c>
      <c r="C137" s="631" t="s">
        <v>14</v>
      </c>
      <c r="D137" s="632">
        <f>M.CALCULO!D144</f>
        <v>9</v>
      </c>
      <c r="E137" s="633">
        <f>COMPOSIÇÕES!H1135</f>
        <v>108.17999999999999</v>
      </c>
      <c r="F137" s="649">
        <f t="shared" si="15"/>
        <v>973.62</v>
      </c>
      <c r="H137" s="415"/>
    </row>
    <row r="138" spans="1:8" s="416" customFormat="1">
      <c r="A138" s="654" t="s">
        <v>937</v>
      </c>
      <c r="B138" s="630" t="s">
        <v>1394</v>
      </c>
      <c r="C138" s="653" t="s">
        <v>14</v>
      </c>
      <c r="D138" s="632">
        <f>M.CALCULO!D145</f>
        <v>37</v>
      </c>
      <c r="E138" s="633">
        <f>COMPOSIÇÕES!H1145</f>
        <v>9.8800000000000008</v>
      </c>
      <c r="F138" s="649">
        <f t="shared" si="15"/>
        <v>365.56</v>
      </c>
      <c r="H138" s="415"/>
    </row>
    <row r="139" spans="1:8" s="416" customFormat="1">
      <c r="A139" s="654" t="s">
        <v>2374</v>
      </c>
      <c r="B139" s="630" t="s">
        <v>1395</v>
      </c>
      <c r="C139" s="631" t="s">
        <v>13</v>
      </c>
      <c r="D139" s="632">
        <f>M.CALCULO!D146</f>
        <v>86.316199999999981</v>
      </c>
      <c r="E139" s="633">
        <f>COMPOSIÇÕES!H1157</f>
        <v>278.94</v>
      </c>
      <c r="F139" s="649">
        <f t="shared" si="15"/>
        <v>24077.040000000001</v>
      </c>
      <c r="H139" s="415"/>
    </row>
    <row r="140" spans="1:8" s="416" customFormat="1">
      <c r="A140" s="654" t="s">
        <v>2375</v>
      </c>
      <c r="B140" s="630" t="s">
        <v>1452</v>
      </c>
      <c r="C140" s="631" t="s">
        <v>13</v>
      </c>
      <c r="D140" s="632">
        <f>M.CALCULO!D147</f>
        <v>115.94</v>
      </c>
      <c r="E140" s="633">
        <f>COMPOSIÇÕES!H1170</f>
        <v>214.88000000000005</v>
      </c>
      <c r="F140" s="649">
        <f t="shared" si="15"/>
        <v>24913.19</v>
      </c>
      <c r="H140" s="415"/>
    </row>
    <row r="141" spans="1:8" s="416" customFormat="1">
      <c r="A141" s="654" t="s">
        <v>2376</v>
      </c>
      <c r="B141" s="630" t="s">
        <v>243</v>
      </c>
      <c r="C141" s="631" t="s">
        <v>15</v>
      </c>
      <c r="D141" s="632">
        <f>M.CALCULO!D148</f>
        <v>19.2</v>
      </c>
      <c r="E141" s="633">
        <f>COMPOSIÇÕES!H1181</f>
        <v>72.039999999999992</v>
      </c>
      <c r="F141" s="649">
        <f t="shared" si="15"/>
        <v>1383.17</v>
      </c>
      <c r="H141" s="415"/>
    </row>
    <row r="142" spans="1:8" s="416" customFormat="1">
      <c r="A142" s="654" t="s">
        <v>2377</v>
      </c>
      <c r="B142" s="630" t="s">
        <v>7</v>
      </c>
      <c r="C142" s="631" t="s">
        <v>13</v>
      </c>
      <c r="D142" s="632">
        <f>M.CALCULO!D149</f>
        <v>264.28899999999999</v>
      </c>
      <c r="E142" s="633">
        <f>COMPOSIÇÕES!H1192</f>
        <v>247.41000000000003</v>
      </c>
      <c r="F142" s="649">
        <f t="shared" si="15"/>
        <v>65387.74</v>
      </c>
      <c r="H142" s="415"/>
    </row>
    <row r="143" spans="1:8" s="416" customFormat="1" ht="24">
      <c r="A143" s="654" t="s">
        <v>2378</v>
      </c>
      <c r="B143" s="630" t="s">
        <v>1373</v>
      </c>
      <c r="C143" s="631" t="s">
        <v>13</v>
      </c>
      <c r="D143" s="632">
        <f>M.CALCULO!D150</f>
        <v>53.1</v>
      </c>
      <c r="E143" s="633">
        <f>COMPOSIÇÕES!H1204</f>
        <v>669.40000000000009</v>
      </c>
      <c r="F143" s="649">
        <f t="shared" si="15"/>
        <v>35545.14</v>
      </c>
      <c r="H143" s="415"/>
    </row>
    <row r="144" spans="1:8" s="416" customFormat="1">
      <c r="A144" s="654" t="s">
        <v>2379</v>
      </c>
      <c r="B144" s="630" t="s">
        <v>1421</v>
      </c>
      <c r="C144" s="631" t="s">
        <v>13</v>
      </c>
      <c r="D144" s="632">
        <f>M.CALCULO!D151</f>
        <v>30.998000000000001</v>
      </c>
      <c r="E144" s="633">
        <f>COMPOSIÇÕES!H1216</f>
        <v>284.79999999999995</v>
      </c>
      <c r="F144" s="649">
        <f t="shared" si="15"/>
        <v>8828.23</v>
      </c>
      <c r="H144" s="415"/>
    </row>
    <row r="145" spans="1:8" s="416" customFormat="1" ht="48">
      <c r="A145" s="654" t="s">
        <v>2380</v>
      </c>
      <c r="B145" s="630" t="s">
        <v>636</v>
      </c>
      <c r="C145" s="631" t="s">
        <v>13</v>
      </c>
      <c r="D145" s="632">
        <f>M.CALCULO!D152</f>
        <v>60.525000000000006</v>
      </c>
      <c r="E145" s="633">
        <f>COMPOSIÇÕES!H1224</f>
        <v>149.25</v>
      </c>
      <c r="F145" s="649">
        <f t="shared" si="15"/>
        <v>9033.36</v>
      </c>
      <c r="H145" s="415"/>
    </row>
    <row r="146" spans="1:8" s="349" customFormat="1">
      <c r="A146" s="642"/>
      <c r="B146" s="643"/>
      <c r="C146" s="642"/>
      <c r="D146" s="644"/>
      <c r="E146" s="651"/>
      <c r="F146" s="652"/>
      <c r="H146" s="343"/>
    </row>
    <row r="147" spans="1:8">
      <c r="A147" s="686">
        <v>17</v>
      </c>
      <c r="B147" s="682" t="s">
        <v>19</v>
      </c>
      <c r="C147" s="681"/>
      <c r="D147" s="689"/>
      <c r="E147" s="684"/>
      <c r="F147" s="688">
        <f>SUM(F148:F150)</f>
        <v>13427.29</v>
      </c>
    </row>
    <row r="148" spans="1:8" s="416" customFormat="1">
      <c r="A148" s="647" t="s">
        <v>2381</v>
      </c>
      <c r="B148" s="630" t="s">
        <v>652</v>
      </c>
      <c r="C148" s="631" t="s">
        <v>13</v>
      </c>
      <c r="D148" s="632">
        <f>M.CALCULO!D156</f>
        <v>86.316199999999981</v>
      </c>
      <c r="E148" s="633">
        <f>COMPOSIÇÕES!H1236</f>
        <v>106.03</v>
      </c>
      <c r="F148" s="649">
        <f t="shared" ref="F148:F149" si="16">ROUND(D148*E148,2)</f>
        <v>9152.11</v>
      </c>
      <c r="H148" s="415"/>
    </row>
    <row r="149" spans="1:8" s="416" customFormat="1" ht="24">
      <c r="A149" s="647" t="s">
        <v>2382</v>
      </c>
      <c r="B149" s="630" t="s">
        <v>656</v>
      </c>
      <c r="C149" s="631" t="s">
        <v>13</v>
      </c>
      <c r="D149" s="632">
        <f>M.CALCULO!D157</f>
        <v>11.700000000000001</v>
      </c>
      <c r="E149" s="633">
        <f>COMPOSIÇÕES!H1249</f>
        <v>365.4</v>
      </c>
      <c r="F149" s="649">
        <f t="shared" si="16"/>
        <v>4275.18</v>
      </c>
      <c r="H149" s="415"/>
    </row>
    <row r="150" spans="1:8" s="349" customFormat="1">
      <c r="A150" s="642"/>
      <c r="B150" s="643"/>
      <c r="C150" s="642"/>
      <c r="D150" s="644"/>
      <c r="E150" s="651"/>
      <c r="F150" s="652"/>
      <c r="H150" s="343"/>
    </row>
    <row r="151" spans="1:8" s="349" customFormat="1" ht="24">
      <c r="A151" s="681">
        <v>18</v>
      </c>
      <c r="B151" s="682" t="s">
        <v>1968</v>
      </c>
      <c r="C151" s="681"/>
      <c r="D151" s="683"/>
      <c r="E151" s="691"/>
      <c r="F151" s="692">
        <f>F152+F202+F225</f>
        <v>167662.93555200001</v>
      </c>
      <c r="H151" s="343"/>
    </row>
    <row r="152" spans="1:8">
      <c r="A152" s="705" t="s">
        <v>4</v>
      </c>
      <c r="B152" s="711" t="s">
        <v>947</v>
      </c>
      <c r="C152" s="712"/>
      <c r="D152" s="701"/>
      <c r="E152" s="702"/>
      <c r="F152" s="703">
        <f>SUM(F153:F200)</f>
        <v>70613.35000000002</v>
      </c>
    </row>
    <row r="153" spans="1:8" s="416" customFormat="1">
      <c r="A153" s="658" t="s">
        <v>2383</v>
      </c>
      <c r="B153" s="630" t="s">
        <v>435</v>
      </c>
      <c r="C153" s="653" t="s">
        <v>16</v>
      </c>
      <c r="D153" s="659">
        <f>M.CALCULO!D162</f>
        <v>21</v>
      </c>
      <c r="E153" s="633">
        <f>COMPOSIÇÕES!H1261</f>
        <v>33.680000000000007</v>
      </c>
      <c r="F153" s="649">
        <f t="shared" ref="F153:F200" si="17">ROUND(D153*E153,2)</f>
        <v>707.28</v>
      </c>
      <c r="H153" s="415"/>
    </row>
    <row r="154" spans="1:8" s="416" customFormat="1">
      <c r="A154" s="658" t="s">
        <v>2384</v>
      </c>
      <c r="B154" s="630" t="s">
        <v>436</v>
      </c>
      <c r="C154" s="653" t="s">
        <v>553</v>
      </c>
      <c r="D154" s="659">
        <f>M.CALCULO!D163</f>
        <v>80</v>
      </c>
      <c r="E154" s="633">
        <f>COMPOSIÇÕES!H1271</f>
        <v>1.01</v>
      </c>
      <c r="F154" s="649">
        <f t="shared" si="17"/>
        <v>80.8</v>
      </c>
      <c r="H154" s="415"/>
    </row>
    <row r="155" spans="1:8" s="416" customFormat="1" ht="24">
      <c r="A155" s="658" t="s">
        <v>2385</v>
      </c>
      <c r="B155" s="630" t="s">
        <v>437</v>
      </c>
      <c r="C155" s="653" t="s">
        <v>15</v>
      </c>
      <c r="D155" s="659">
        <f>M.CALCULO!D164</f>
        <v>477</v>
      </c>
      <c r="E155" s="633">
        <f>COMPOSIÇÕES!H1282</f>
        <v>2.4900000000000002</v>
      </c>
      <c r="F155" s="649">
        <f t="shared" si="17"/>
        <v>1187.73</v>
      </c>
      <c r="H155" s="415"/>
    </row>
    <row r="156" spans="1:8" s="416" customFormat="1" ht="24">
      <c r="A156" s="658" t="s">
        <v>2386</v>
      </c>
      <c r="B156" s="630" t="s">
        <v>438</v>
      </c>
      <c r="C156" s="653" t="s">
        <v>15</v>
      </c>
      <c r="D156" s="659">
        <f>M.CALCULO!D165</f>
        <v>911</v>
      </c>
      <c r="E156" s="633">
        <f>COMPOSIÇÕES!H1326</f>
        <v>3.66</v>
      </c>
      <c r="F156" s="649">
        <f t="shared" si="17"/>
        <v>3334.26</v>
      </c>
      <c r="H156" s="415"/>
    </row>
    <row r="157" spans="1:8" s="416" customFormat="1" ht="24">
      <c r="A157" s="658" t="s">
        <v>2387</v>
      </c>
      <c r="B157" s="630" t="s">
        <v>439</v>
      </c>
      <c r="C157" s="653" t="s">
        <v>15</v>
      </c>
      <c r="D157" s="659">
        <f>M.CALCULO!D166</f>
        <v>1576</v>
      </c>
      <c r="E157" s="633">
        <f>COMPOSIÇÕES!H1326</f>
        <v>3.66</v>
      </c>
      <c r="F157" s="649">
        <f t="shared" si="17"/>
        <v>5768.16</v>
      </c>
      <c r="H157" s="415"/>
    </row>
    <row r="158" spans="1:8" s="416" customFormat="1" ht="24">
      <c r="A158" s="658" t="s">
        <v>2388</v>
      </c>
      <c r="B158" s="630" t="s">
        <v>440</v>
      </c>
      <c r="C158" s="653" t="s">
        <v>15</v>
      </c>
      <c r="D158" s="659">
        <f>M.CALCULO!D167</f>
        <v>2576</v>
      </c>
      <c r="E158" s="633">
        <f>COMPOSIÇÕES!H1326</f>
        <v>3.66</v>
      </c>
      <c r="F158" s="649">
        <f t="shared" si="17"/>
        <v>9428.16</v>
      </c>
      <c r="H158" s="415"/>
    </row>
    <row r="159" spans="1:8" s="416" customFormat="1" ht="24">
      <c r="A159" s="658" t="s">
        <v>2389</v>
      </c>
      <c r="B159" s="630" t="s">
        <v>441</v>
      </c>
      <c r="C159" s="653" t="s">
        <v>15</v>
      </c>
      <c r="D159" s="659">
        <f>M.CALCULO!D168</f>
        <v>626</v>
      </c>
      <c r="E159" s="633">
        <f>COMPOSIÇÕES!H1326</f>
        <v>3.66</v>
      </c>
      <c r="F159" s="649">
        <f t="shared" si="17"/>
        <v>2291.16</v>
      </c>
      <c r="H159" s="415"/>
    </row>
    <row r="160" spans="1:8" s="416" customFormat="1" ht="24">
      <c r="A160" s="658" t="s">
        <v>2390</v>
      </c>
      <c r="B160" s="630" t="s">
        <v>442</v>
      </c>
      <c r="C160" s="653" t="s">
        <v>15</v>
      </c>
      <c r="D160" s="659">
        <f>M.CALCULO!D169</f>
        <v>313</v>
      </c>
      <c r="E160" s="633">
        <f>COMPOSIÇÕES!H1326</f>
        <v>3.66</v>
      </c>
      <c r="F160" s="649">
        <f t="shared" si="17"/>
        <v>1145.58</v>
      </c>
      <c r="H160" s="415"/>
    </row>
    <row r="161" spans="1:8" s="416" customFormat="1" ht="24">
      <c r="A161" s="658" t="s">
        <v>2391</v>
      </c>
      <c r="B161" s="630" t="s">
        <v>443</v>
      </c>
      <c r="C161" s="653" t="s">
        <v>15</v>
      </c>
      <c r="D161" s="659">
        <f>M.CALCULO!D170</f>
        <v>14</v>
      </c>
      <c r="E161" s="633">
        <f>COMPOSIÇÕES!H1348</f>
        <v>4.92</v>
      </c>
      <c r="F161" s="649">
        <f t="shared" si="17"/>
        <v>68.88</v>
      </c>
      <c r="H161" s="415"/>
    </row>
    <row r="162" spans="1:8" s="416" customFormat="1" ht="24">
      <c r="A162" s="658" t="s">
        <v>2392</v>
      </c>
      <c r="B162" s="630" t="s">
        <v>444</v>
      </c>
      <c r="C162" s="653" t="s">
        <v>15</v>
      </c>
      <c r="D162" s="659">
        <f>M.CALCULO!D171</f>
        <v>7</v>
      </c>
      <c r="E162" s="633">
        <f>COMPOSIÇÕES!H1348</f>
        <v>4.92</v>
      </c>
      <c r="F162" s="649">
        <f t="shared" si="17"/>
        <v>34.44</v>
      </c>
      <c r="H162" s="415"/>
    </row>
    <row r="163" spans="1:8" s="416" customFormat="1">
      <c r="A163" s="658" t="s">
        <v>2393</v>
      </c>
      <c r="B163" s="630" t="s">
        <v>1974</v>
      </c>
      <c r="C163" s="653" t="s">
        <v>14</v>
      </c>
      <c r="D163" s="659">
        <f>M.CALCULO!D172</f>
        <v>122</v>
      </c>
      <c r="E163" s="633">
        <f>COMPOSIÇÕES!H1369</f>
        <v>5.26</v>
      </c>
      <c r="F163" s="649">
        <f t="shared" si="17"/>
        <v>641.72</v>
      </c>
      <c r="H163" s="415"/>
    </row>
    <row r="164" spans="1:8" s="416" customFormat="1">
      <c r="A164" s="658" t="s">
        <v>2394</v>
      </c>
      <c r="B164" s="630" t="s">
        <v>1975</v>
      </c>
      <c r="C164" s="653" t="s">
        <v>14</v>
      </c>
      <c r="D164" s="659">
        <f>M.CALCULO!D173</f>
        <v>4</v>
      </c>
      <c r="E164" s="633">
        <f>COMPOSIÇÕES!H1379</f>
        <v>6.44</v>
      </c>
      <c r="F164" s="649">
        <f t="shared" si="17"/>
        <v>25.76</v>
      </c>
      <c r="H164" s="415"/>
    </row>
    <row r="165" spans="1:8" s="416" customFormat="1">
      <c r="A165" s="658" t="s">
        <v>2395</v>
      </c>
      <c r="B165" s="630" t="s">
        <v>963</v>
      </c>
      <c r="C165" s="653" t="s">
        <v>14</v>
      </c>
      <c r="D165" s="659">
        <f>M.CALCULO!D174</f>
        <v>75</v>
      </c>
      <c r="E165" s="633">
        <f>COMPOSIÇÕES!H1389</f>
        <v>6.44</v>
      </c>
      <c r="F165" s="649">
        <f t="shared" si="17"/>
        <v>483</v>
      </c>
      <c r="H165" s="415"/>
    </row>
    <row r="166" spans="1:8" s="416" customFormat="1">
      <c r="A166" s="658" t="s">
        <v>2396</v>
      </c>
      <c r="B166" s="630" t="s">
        <v>448</v>
      </c>
      <c r="C166" s="653" t="s">
        <v>14</v>
      </c>
      <c r="D166" s="659">
        <f>M.CALCULO!D175</f>
        <v>14</v>
      </c>
      <c r="E166" s="633">
        <f>COMPOSIÇÕES!H1399</f>
        <v>4.7200000000000006</v>
      </c>
      <c r="F166" s="649">
        <f t="shared" si="17"/>
        <v>66.08</v>
      </c>
      <c r="H166" s="415"/>
    </row>
    <row r="167" spans="1:8" s="416" customFormat="1" ht="24">
      <c r="A167" s="658" t="s">
        <v>2397</v>
      </c>
      <c r="B167" s="630" t="s">
        <v>449</v>
      </c>
      <c r="C167" s="653" t="s">
        <v>14</v>
      </c>
      <c r="D167" s="659">
        <f>M.CALCULO!D176</f>
        <v>2</v>
      </c>
      <c r="E167" s="633">
        <f>COMPOSIÇÕES!H1408</f>
        <v>129.66</v>
      </c>
      <c r="F167" s="649">
        <f t="shared" si="17"/>
        <v>259.32</v>
      </c>
      <c r="H167" s="415"/>
    </row>
    <row r="168" spans="1:8" s="416" customFormat="1" ht="24">
      <c r="A168" s="658" t="s">
        <v>2398</v>
      </c>
      <c r="B168" s="630" t="s">
        <v>450</v>
      </c>
      <c r="C168" s="653" t="s">
        <v>14</v>
      </c>
      <c r="D168" s="659">
        <f>M.CALCULO!D177</f>
        <v>4</v>
      </c>
      <c r="E168" s="633">
        <f>COMPOSIÇÕES!H1417</f>
        <v>55.080000000000005</v>
      </c>
      <c r="F168" s="649">
        <f t="shared" si="17"/>
        <v>220.32</v>
      </c>
      <c r="H168" s="415"/>
    </row>
    <row r="169" spans="1:8" s="510" customFormat="1" ht="24">
      <c r="A169" s="658" t="s">
        <v>2399</v>
      </c>
      <c r="B169" s="660" t="s">
        <v>451</v>
      </c>
      <c r="C169" s="653" t="s">
        <v>14</v>
      </c>
      <c r="D169" s="661">
        <f>M.CALCULO!D178</f>
        <v>3</v>
      </c>
      <c r="E169" s="633">
        <f>COMPOSIÇÕES!H1426</f>
        <v>55.06</v>
      </c>
      <c r="F169" s="662">
        <f t="shared" si="17"/>
        <v>165.18</v>
      </c>
      <c r="H169" s="511"/>
    </row>
    <row r="170" spans="1:8" s="510" customFormat="1" ht="24">
      <c r="A170" s="658" t="s">
        <v>2400</v>
      </c>
      <c r="B170" s="660" t="s">
        <v>452</v>
      </c>
      <c r="C170" s="653" t="s">
        <v>14</v>
      </c>
      <c r="D170" s="661">
        <f>M.CALCULO!D179</f>
        <v>22</v>
      </c>
      <c r="E170" s="633">
        <f>COMPOSIÇÕES!H1435</f>
        <v>46.84</v>
      </c>
      <c r="F170" s="662">
        <f t="shared" si="17"/>
        <v>1030.48</v>
      </c>
      <c r="H170" s="511"/>
    </row>
    <row r="171" spans="1:8" s="510" customFormat="1">
      <c r="A171" s="658" t="s">
        <v>2401</v>
      </c>
      <c r="B171" s="630" t="s">
        <v>453</v>
      </c>
      <c r="C171" s="653" t="s">
        <v>14</v>
      </c>
      <c r="D171" s="659">
        <f>M.CALCULO!D180</f>
        <v>2</v>
      </c>
      <c r="E171" s="633">
        <f>COMPOSIÇÕES!H1444</f>
        <v>74.150000000000006</v>
      </c>
      <c r="F171" s="649">
        <f t="shared" si="17"/>
        <v>148.30000000000001</v>
      </c>
      <c r="H171" s="511"/>
    </row>
    <row r="172" spans="1:8" s="510" customFormat="1">
      <c r="A172" s="658" t="s">
        <v>2402</v>
      </c>
      <c r="B172" s="630" t="s">
        <v>454</v>
      </c>
      <c r="C172" s="653" t="s">
        <v>14</v>
      </c>
      <c r="D172" s="659">
        <f>M.CALCULO!D181</f>
        <v>7</v>
      </c>
      <c r="E172" s="633">
        <f>COMPOSIÇÕES!H1453</f>
        <v>74.150000000000006</v>
      </c>
      <c r="F172" s="649">
        <f t="shared" si="17"/>
        <v>519.04999999999995</v>
      </c>
      <c r="H172" s="511"/>
    </row>
    <row r="173" spans="1:8" s="510" customFormat="1">
      <c r="A173" s="658" t="s">
        <v>2403</v>
      </c>
      <c r="B173" s="630" t="s">
        <v>455</v>
      </c>
      <c r="C173" s="653" t="s">
        <v>14</v>
      </c>
      <c r="D173" s="659">
        <f>M.CALCULO!D182</f>
        <v>1</v>
      </c>
      <c r="E173" s="633">
        <f>COMPOSIÇÕES!H1462</f>
        <v>74.150000000000006</v>
      </c>
      <c r="F173" s="649">
        <f t="shared" si="17"/>
        <v>74.150000000000006</v>
      </c>
      <c r="H173" s="511"/>
    </row>
    <row r="174" spans="1:8" s="510" customFormat="1">
      <c r="A174" s="658" t="s">
        <v>2404</v>
      </c>
      <c r="B174" s="660" t="s">
        <v>967</v>
      </c>
      <c r="C174" s="653" t="s">
        <v>14</v>
      </c>
      <c r="D174" s="661">
        <f>M.CALCULO!D183</f>
        <v>2</v>
      </c>
      <c r="E174" s="633">
        <f>COMPOSIÇÕES!H1472</f>
        <v>92.71</v>
      </c>
      <c r="F174" s="662">
        <f t="shared" si="17"/>
        <v>185.42</v>
      </c>
      <c r="H174" s="511"/>
    </row>
    <row r="175" spans="1:8" s="510" customFormat="1" ht="24">
      <c r="A175" s="658" t="s">
        <v>2405</v>
      </c>
      <c r="B175" s="660" t="s">
        <v>969</v>
      </c>
      <c r="C175" s="653" t="s">
        <v>14</v>
      </c>
      <c r="D175" s="661">
        <f>M.CALCULO!D184</f>
        <v>2</v>
      </c>
      <c r="E175" s="633">
        <f>COMPOSIÇÕES!H1482</f>
        <v>673.82</v>
      </c>
      <c r="F175" s="662">
        <f t="shared" si="17"/>
        <v>1347.64</v>
      </c>
      <c r="H175" s="511"/>
    </row>
    <row r="176" spans="1:8" s="510" customFormat="1" ht="24">
      <c r="A176" s="658" t="s">
        <v>2406</v>
      </c>
      <c r="B176" s="660" t="s">
        <v>457</v>
      </c>
      <c r="C176" s="653" t="s">
        <v>15</v>
      </c>
      <c r="D176" s="661">
        <f>M.CALCULO!D185</f>
        <v>150</v>
      </c>
      <c r="E176" s="633">
        <f>COMPOSIÇÕES!H1492</f>
        <v>54.97</v>
      </c>
      <c r="F176" s="662">
        <f t="shared" si="17"/>
        <v>8245.5</v>
      </c>
      <c r="H176" s="511"/>
    </row>
    <row r="177" spans="1:8" s="510" customFormat="1">
      <c r="A177" s="658" t="s">
        <v>2407</v>
      </c>
      <c r="B177" s="660" t="s">
        <v>973</v>
      </c>
      <c r="C177" s="653" t="s">
        <v>15</v>
      </c>
      <c r="D177" s="661">
        <f>M.CALCULO!D186</f>
        <v>600</v>
      </c>
      <c r="E177" s="633">
        <f>COMPOSIÇÕES!H1503</f>
        <v>8.51</v>
      </c>
      <c r="F177" s="662">
        <f t="shared" si="17"/>
        <v>5106</v>
      </c>
      <c r="H177" s="511"/>
    </row>
    <row r="178" spans="1:8" s="416" customFormat="1" ht="24">
      <c r="A178" s="658" t="s">
        <v>2408</v>
      </c>
      <c r="B178" s="630" t="s">
        <v>976</v>
      </c>
      <c r="C178" s="653" t="s">
        <v>15</v>
      </c>
      <c r="D178" s="659">
        <f>M.CALCULO!D187</f>
        <v>600</v>
      </c>
      <c r="E178" s="633">
        <f>COMPOSIÇÕES!H1513</f>
        <v>4.2699999999999996</v>
      </c>
      <c r="F178" s="649">
        <f t="shared" si="17"/>
        <v>2562</v>
      </c>
      <c r="H178" s="415"/>
    </row>
    <row r="179" spans="1:8" s="416" customFormat="1" ht="24">
      <c r="A179" s="658" t="s">
        <v>2409</v>
      </c>
      <c r="B179" s="630" t="s">
        <v>977</v>
      </c>
      <c r="C179" s="653" t="s">
        <v>15</v>
      </c>
      <c r="D179" s="659">
        <f>M.CALCULO!D188</f>
        <v>130</v>
      </c>
      <c r="E179" s="633">
        <f>COMPOSIÇÕES!H1523</f>
        <v>5.46</v>
      </c>
      <c r="F179" s="649">
        <f t="shared" si="17"/>
        <v>709.8</v>
      </c>
      <c r="H179" s="415"/>
    </row>
    <row r="180" spans="1:8" s="416" customFormat="1">
      <c r="A180" s="658" t="s">
        <v>2410</v>
      </c>
      <c r="B180" s="630" t="s">
        <v>978</v>
      </c>
      <c r="C180" s="653" t="s">
        <v>14</v>
      </c>
      <c r="D180" s="659">
        <f>M.CALCULO!D189</f>
        <v>5</v>
      </c>
      <c r="E180" s="633">
        <f>COMPOSIÇÕES!H1533</f>
        <v>38.15</v>
      </c>
      <c r="F180" s="649">
        <f t="shared" si="17"/>
        <v>190.75</v>
      </c>
      <c r="H180" s="415"/>
    </row>
    <row r="181" spans="1:8" s="416" customFormat="1">
      <c r="A181" s="658" t="s">
        <v>2411</v>
      </c>
      <c r="B181" s="630" t="s">
        <v>980</v>
      </c>
      <c r="C181" s="653" t="s">
        <v>14</v>
      </c>
      <c r="D181" s="659">
        <f>M.CALCULO!D190</f>
        <v>13</v>
      </c>
      <c r="E181" s="633">
        <f>COMPOSIÇÕES!H1543</f>
        <v>8.6999999999999993</v>
      </c>
      <c r="F181" s="649">
        <f t="shared" si="17"/>
        <v>113.1</v>
      </c>
      <c r="H181" s="415"/>
    </row>
    <row r="182" spans="1:8" s="416" customFormat="1">
      <c r="A182" s="658" t="s">
        <v>2412</v>
      </c>
      <c r="B182" s="630" t="s">
        <v>982</v>
      </c>
      <c r="C182" s="653" t="s">
        <v>14</v>
      </c>
      <c r="D182" s="659">
        <f>M.CALCULO!D191</f>
        <v>5</v>
      </c>
      <c r="E182" s="633">
        <f>COMPOSIÇÕES!H1553</f>
        <v>15.11</v>
      </c>
      <c r="F182" s="649">
        <f t="shared" si="17"/>
        <v>75.55</v>
      </c>
      <c r="H182" s="415"/>
    </row>
    <row r="183" spans="1:8" s="510" customFormat="1" ht="24">
      <c r="A183" s="658" t="s">
        <v>2413</v>
      </c>
      <c r="B183" s="660" t="s">
        <v>2251</v>
      </c>
      <c r="C183" s="653" t="s">
        <v>14</v>
      </c>
      <c r="D183" s="661">
        <f>M.CALCULO!D192</f>
        <v>62</v>
      </c>
      <c r="E183" s="633">
        <f>COMPOSIÇÕES!H1563</f>
        <v>86.42</v>
      </c>
      <c r="F183" s="662">
        <f t="shared" si="17"/>
        <v>5358.04</v>
      </c>
      <c r="H183" s="511"/>
    </row>
    <row r="184" spans="1:8" s="416" customFormat="1">
      <c r="A184" s="658" t="s">
        <v>2414</v>
      </c>
      <c r="B184" s="630" t="s">
        <v>984</v>
      </c>
      <c r="C184" s="653" t="s">
        <v>14</v>
      </c>
      <c r="D184" s="659">
        <f>M.CALCULO!D193</f>
        <v>13</v>
      </c>
      <c r="E184" s="633">
        <f>COMPOSIÇÕES!H1574</f>
        <v>22.57</v>
      </c>
      <c r="F184" s="649">
        <f t="shared" si="17"/>
        <v>293.41000000000003</v>
      </c>
      <c r="H184" s="415"/>
    </row>
    <row r="185" spans="1:8" s="416" customFormat="1">
      <c r="A185" s="658" t="s">
        <v>2415</v>
      </c>
      <c r="B185" s="630" t="s">
        <v>986</v>
      </c>
      <c r="C185" s="653" t="s">
        <v>14</v>
      </c>
      <c r="D185" s="659">
        <f>M.CALCULO!D194</f>
        <v>6</v>
      </c>
      <c r="E185" s="633">
        <f>COMPOSIÇÕES!H1584</f>
        <v>96.83</v>
      </c>
      <c r="F185" s="649">
        <f t="shared" si="17"/>
        <v>580.98</v>
      </c>
      <c r="H185" s="415"/>
    </row>
    <row r="186" spans="1:8" s="416" customFormat="1">
      <c r="A186" s="658" t="s">
        <v>2416</v>
      </c>
      <c r="B186" s="630" t="s">
        <v>988</v>
      </c>
      <c r="C186" s="653" t="s">
        <v>14</v>
      </c>
      <c r="D186" s="659">
        <f>M.CALCULO!D195</f>
        <v>20</v>
      </c>
      <c r="E186" s="633">
        <f>COMPOSIÇÕES!H1594</f>
        <v>348.73</v>
      </c>
      <c r="F186" s="649">
        <f t="shared" si="17"/>
        <v>6974.6</v>
      </c>
      <c r="H186" s="415"/>
    </row>
    <row r="187" spans="1:8" s="510" customFormat="1">
      <c r="A187" s="658" t="s">
        <v>2417</v>
      </c>
      <c r="B187" s="660" t="s">
        <v>990</v>
      </c>
      <c r="C187" s="653" t="s">
        <v>14</v>
      </c>
      <c r="D187" s="661">
        <f>M.CALCULO!D196</f>
        <v>11</v>
      </c>
      <c r="E187" s="633">
        <f>COMPOSIÇÕES!H1604</f>
        <v>150.71</v>
      </c>
      <c r="F187" s="662">
        <f t="shared" si="17"/>
        <v>1657.81</v>
      </c>
      <c r="H187" s="511"/>
    </row>
    <row r="188" spans="1:8" s="510" customFormat="1" ht="36">
      <c r="A188" s="658" t="s">
        <v>2418</v>
      </c>
      <c r="B188" s="660" t="s">
        <v>1571</v>
      </c>
      <c r="C188" s="653" t="s">
        <v>14</v>
      </c>
      <c r="D188" s="661">
        <f>M.CALCULO!D197</f>
        <v>1</v>
      </c>
      <c r="E188" s="633">
        <f>COMPOSIÇÕES!H1614</f>
        <v>841.32000000000016</v>
      </c>
      <c r="F188" s="662">
        <f t="shared" si="17"/>
        <v>841.32</v>
      </c>
      <c r="H188" s="511"/>
    </row>
    <row r="189" spans="1:8" s="510" customFormat="1" ht="48">
      <c r="A189" s="658" t="s">
        <v>2419</v>
      </c>
      <c r="B189" s="660" t="s">
        <v>994</v>
      </c>
      <c r="C189" s="653" t="s">
        <v>14</v>
      </c>
      <c r="D189" s="661">
        <f>M.CALCULO!D198</f>
        <v>1</v>
      </c>
      <c r="E189" s="633">
        <f>COMPOSIÇÕES!H1624</f>
        <v>1219.6100000000001</v>
      </c>
      <c r="F189" s="662">
        <f t="shared" si="17"/>
        <v>1219.6099999999999</v>
      </c>
      <c r="H189" s="511"/>
    </row>
    <row r="190" spans="1:8" s="510" customFormat="1">
      <c r="A190" s="658" t="s">
        <v>2420</v>
      </c>
      <c r="B190" s="660" t="s">
        <v>996</v>
      </c>
      <c r="C190" s="653" t="s">
        <v>14</v>
      </c>
      <c r="D190" s="661">
        <f>M.CALCULO!D199</f>
        <v>72</v>
      </c>
      <c r="E190" s="633">
        <f>COMPOSIÇÕES!H1634</f>
        <v>20.079999999999998</v>
      </c>
      <c r="F190" s="662">
        <f t="shared" si="17"/>
        <v>1445.76</v>
      </c>
      <c r="H190" s="511"/>
    </row>
    <row r="191" spans="1:8" s="510" customFormat="1">
      <c r="A191" s="658" t="s">
        <v>2421</v>
      </c>
      <c r="B191" s="660" t="s">
        <v>2252</v>
      </c>
      <c r="C191" s="653" t="s">
        <v>15</v>
      </c>
      <c r="D191" s="661">
        <f>M.CALCULO!D200</f>
        <v>60</v>
      </c>
      <c r="E191" s="633">
        <f>COMPOSIÇÕES!H1643</f>
        <v>8.98</v>
      </c>
      <c r="F191" s="662">
        <f t="shared" si="17"/>
        <v>538.79999999999995</v>
      </c>
      <c r="H191" s="511"/>
    </row>
    <row r="192" spans="1:8" s="510" customFormat="1" ht="24">
      <c r="A192" s="658" t="s">
        <v>2422</v>
      </c>
      <c r="B192" s="660" t="s">
        <v>2253</v>
      </c>
      <c r="C192" s="653" t="s">
        <v>15</v>
      </c>
      <c r="D192" s="661">
        <f>M.CALCULO!D201</f>
        <v>20</v>
      </c>
      <c r="E192" s="633">
        <f>COMPOSIÇÕES!H1643</f>
        <v>8.98</v>
      </c>
      <c r="F192" s="662">
        <f t="shared" si="17"/>
        <v>179.6</v>
      </c>
      <c r="H192" s="511"/>
    </row>
    <row r="193" spans="1:8" s="510" customFormat="1">
      <c r="A193" s="658" t="s">
        <v>2423</v>
      </c>
      <c r="B193" s="660" t="s">
        <v>2254</v>
      </c>
      <c r="C193" s="653" t="s">
        <v>15</v>
      </c>
      <c r="D193" s="661">
        <f>M.CALCULO!D202</f>
        <v>20</v>
      </c>
      <c r="E193" s="633">
        <f>COMPOSIÇÕES!H1643</f>
        <v>8.98</v>
      </c>
      <c r="F193" s="662">
        <f t="shared" si="17"/>
        <v>179.6</v>
      </c>
      <c r="H193" s="511"/>
    </row>
    <row r="194" spans="1:8" s="510" customFormat="1" ht="36">
      <c r="A194" s="658" t="s">
        <v>2424</v>
      </c>
      <c r="B194" s="660" t="s">
        <v>1562</v>
      </c>
      <c r="C194" s="653" t="s">
        <v>14</v>
      </c>
      <c r="D194" s="661">
        <f>M.CALCULO!D203</f>
        <v>6</v>
      </c>
      <c r="E194" s="633">
        <f>COMPOSIÇÕES!H1673</f>
        <v>123.53999999999999</v>
      </c>
      <c r="F194" s="662">
        <f t="shared" si="17"/>
        <v>741.24</v>
      </c>
      <c r="H194" s="511"/>
    </row>
    <row r="195" spans="1:8" s="416" customFormat="1">
      <c r="A195" s="658" t="s">
        <v>2425</v>
      </c>
      <c r="B195" s="660" t="s">
        <v>1301</v>
      </c>
      <c r="C195" s="653" t="s">
        <v>14</v>
      </c>
      <c r="D195" s="661">
        <f>M.CALCULO!D204</f>
        <v>4</v>
      </c>
      <c r="E195" s="633">
        <f>COMPOSIÇÕES!H1683</f>
        <v>13.200000000000001</v>
      </c>
      <c r="F195" s="662">
        <f t="shared" si="17"/>
        <v>52.8</v>
      </c>
      <c r="H195" s="415"/>
    </row>
    <row r="196" spans="1:8" s="416" customFormat="1" ht="24">
      <c r="A196" s="658" t="s">
        <v>2426</v>
      </c>
      <c r="B196" s="660" t="s">
        <v>1302</v>
      </c>
      <c r="C196" s="653" t="s">
        <v>15</v>
      </c>
      <c r="D196" s="661">
        <f>M.CALCULO!D205</f>
        <v>120</v>
      </c>
      <c r="E196" s="633">
        <f>COMPOSIÇÕES!H1694</f>
        <v>12.81</v>
      </c>
      <c r="F196" s="662">
        <f t="shared" si="17"/>
        <v>1537.2</v>
      </c>
      <c r="H196" s="415"/>
    </row>
    <row r="197" spans="1:8" s="416" customFormat="1" ht="24">
      <c r="A197" s="658" t="s">
        <v>2427</v>
      </c>
      <c r="B197" s="660" t="s">
        <v>1303</v>
      </c>
      <c r="C197" s="653" t="s">
        <v>15</v>
      </c>
      <c r="D197" s="661">
        <f>M.CALCULO!D206</f>
        <v>20</v>
      </c>
      <c r="E197" s="633">
        <f>COMPOSIÇÕES!H1705</f>
        <v>26.13</v>
      </c>
      <c r="F197" s="662">
        <f t="shared" si="17"/>
        <v>522.6</v>
      </c>
      <c r="H197" s="415"/>
    </row>
    <row r="198" spans="1:8" s="416" customFormat="1">
      <c r="A198" s="658" t="s">
        <v>2428</v>
      </c>
      <c r="B198" s="660" t="s">
        <v>1277</v>
      </c>
      <c r="C198" s="653" t="s">
        <v>14</v>
      </c>
      <c r="D198" s="661">
        <f>M.CALCULO!D207</f>
        <v>16</v>
      </c>
      <c r="E198" s="633">
        <f>COMPOSIÇÕES!H1715</f>
        <v>107.23</v>
      </c>
      <c r="F198" s="662">
        <f t="shared" si="17"/>
        <v>1715.68</v>
      </c>
      <c r="H198" s="415"/>
    </row>
    <row r="199" spans="1:8" s="416" customFormat="1" ht="36">
      <c r="A199" s="658" t="s">
        <v>2429</v>
      </c>
      <c r="B199" s="660" t="s">
        <v>1563</v>
      </c>
      <c r="C199" s="653" t="s">
        <v>14</v>
      </c>
      <c r="D199" s="661">
        <f>M.CALCULO!D208</f>
        <v>1</v>
      </c>
      <c r="E199" s="633">
        <f>COMPOSIÇÕES!H1725</f>
        <v>504.12612799999999</v>
      </c>
      <c r="F199" s="662">
        <f t="shared" si="17"/>
        <v>504.13</v>
      </c>
      <c r="H199" s="415"/>
    </row>
    <row r="200" spans="1:8" s="416" customFormat="1">
      <c r="A200" s="658" t="s">
        <v>2430</v>
      </c>
      <c r="B200" s="660" t="s">
        <v>1287</v>
      </c>
      <c r="C200" s="653" t="s">
        <v>14</v>
      </c>
      <c r="D200" s="661">
        <f>M.CALCULO!D209</f>
        <v>1</v>
      </c>
      <c r="E200" s="633">
        <f>COMPOSIÇÕES!H1735</f>
        <v>54.599999999999994</v>
      </c>
      <c r="F200" s="662">
        <f t="shared" si="17"/>
        <v>54.6</v>
      </c>
      <c r="H200" s="415"/>
    </row>
    <row r="201" spans="1:8" s="349" customFormat="1">
      <c r="A201" s="663"/>
      <c r="B201" s="643"/>
      <c r="C201" s="642"/>
      <c r="D201" s="644"/>
      <c r="E201" s="651"/>
      <c r="F201" s="652"/>
      <c r="H201" s="343"/>
    </row>
    <row r="202" spans="1:8" s="349" customFormat="1">
      <c r="A202" s="705" t="s">
        <v>5</v>
      </c>
      <c r="B202" s="708" t="s">
        <v>428</v>
      </c>
      <c r="C202" s="709"/>
      <c r="D202" s="710"/>
      <c r="E202" s="702"/>
      <c r="F202" s="703">
        <f>SUM(F203:F223)</f>
        <v>29713.489999999994</v>
      </c>
      <c r="H202" s="343"/>
    </row>
    <row r="203" spans="1:8" s="416" customFormat="1">
      <c r="A203" s="658" t="s">
        <v>2431</v>
      </c>
      <c r="B203" s="660" t="s">
        <v>948</v>
      </c>
      <c r="C203" s="653" t="s">
        <v>16</v>
      </c>
      <c r="D203" s="632">
        <f>M.CALCULO!D213</f>
        <v>5</v>
      </c>
      <c r="E203" s="633">
        <f>COMPOSIÇÕES!H1746</f>
        <v>33.680000000000007</v>
      </c>
      <c r="F203" s="649">
        <f t="shared" ref="F203:F223" si="18">ROUND(D203*E203,2)</f>
        <v>168.4</v>
      </c>
      <c r="H203" s="415"/>
    </row>
    <row r="204" spans="1:8" s="416" customFormat="1">
      <c r="A204" s="658" t="s">
        <v>2432</v>
      </c>
      <c r="B204" s="660" t="s">
        <v>998</v>
      </c>
      <c r="C204" s="653" t="s">
        <v>14</v>
      </c>
      <c r="D204" s="632">
        <f>M.CALCULO!D214</f>
        <v>2</v>
      </c>
      <c r="E204" s="633">
        <f>COMPOSIÇÕES!H1756</f>
        <v>28.730000000000004</v>
      </c>
      <c r="F204" s="649">
        <f t="shared" si="18"/>
        <v>57.46</v>
      </c>
      <c r="H204" s="415"/>
    </row>
    <row r="205" spans="1:8" s="416" customFormat="1">
      <c r="A205" s="658" t="s">
        <v>2433</v>
      </c>
      <c r="B205" s="660" t="s">
        <v>999</v>
      </c>
      <c r="C205" s="653" t="s">
        <v>14</v>
      </c>
      <c r="D205" s="632">
        <f>M.CALCULO!D215</f>
        <v>6</v>
      </c>
      <c r="E205" s="633">
        <f>COMPOSIÇÕES!H1766</f>
        <v>0.41</v>
      </c>
      <c r="F205" s="649">
        <f t="shared" si="18"/>
        <v>2.46</v>
      </c>
      <c r="H205" s="415"/>
    </row>
    <row r="206" spans="1:8" s="416" customFormat="1" ht="24">
      <c r="A206" s="658" t="s">
        <v>2434</v>
      </c>
      <c r="B206" s="660" t="s">
        <v>1001</v>
      </c>
      <c r="C206" s="653" t="s">
        <v>15</v>
      </c>
      <c r="D206" s="632">
        <f>M.CALCULO!D216</f>
        <v>10</v>
      </c>
      <c r="E206" s="633">
        <f>COMPOSIÇÕES!H1776</f>
        <v>7.17</v>
      </c>
      <c r="F206" s="649">
        <f t="shared" si="18"/>
        <v>71.7</v>
      </c>
      <c r="H206" s="415"/>
    </row>
    <row r="207" spans="1:8" s="416" customFormat="1" ht="24">
      <c r="A207" s="658" t="s">
        <v>2435</v>
      </c>
      <c r="B207" s="660" t="s">
        <v>1003</v>
      </c>
      <c r="C207" s="653" t="s">
        <v>15</v>
      </c>
      <c r="D207" s="632">
        <f>M.CALCULO!D217</f>
        <v>100</v>
      </c>
      <c r="E207" s="633">
        <f>COMPOSIÇÕES!H1786</f>
        <v>9.57</v>
      </c>
      <c r="F207" s="649">
        <f t="shared" si="18"/>
        <v>957</v>
      </c>
      <c r="H207" s="415"/>
    </row>
    <row r="208" spans="1:8" s="416" customFormat="1">
      <c r="A208" s="658" t="s">
        <v>2436</v>
      </c>
      <c r="B208" s="660" t="s">
        <v>1005</v>
      </c>
      <c r="C208" s="653" t="s">
        <v>15</v>
      </c>
      <c r="D208" s="632">
        <f>M.CALCULO!D218</f>
        <v>1150</v>
      </c>
      <c r="E208" s="633">
        <f>COMPOSIÇÕES!H1796</f>
        <v>3.9699999999999998</v>
      </c>
      <c r="F208" s="649">
        <f t="shared" si="18"/>
        <v>4565.5</v>
      </c>
      <c r="H208" s="415"/>
    </row>
    <row r="209" spans="1:8" s="416" customFormat="1">
      <c r="A209" s="658" t="s">
        <v>2437</v>
      </c>
      <c r="B209" s="660" t="s">
        <v>959</v>
      </c>
      <c r="C209" s="653" t="s">
        <v>14</v>
      </c>
      <c r="D209" s="632">
        <f>M.CALCULO!D219</f>
        <v>20</v>
      </c>
      <c r="E209" s="633">
        <f>COMPOSIÇÕES!H1806</f>
        <v>5.26</v>
      </c>
      <c r="F209" s="649">
        <f t="shared" si="18"/>
        <v>105.2</v>
      </c>
      <c r="H209" s="415"/>
    </row>
    <row r="210" spans="1:8" s="416" customFormat="1" ht="36">
      <c r="A210" s="658" t="s">
        <v>2438</v>
      </c>
      <c r="B210" s="660" t="s">
        <v>1562</v>
      </c>
      <c r="C210" s="653" t="s">
        <v>14</v>
      </c>
      <c r="D210" s="632">
        <f>M.CALCULO!D220</f>
        <v>2</v>
      </c>
      <c r="E210" s="633">
        <f>COMPOSIÇÕES!H1816</f>
        <v>123.53999999999999</v>
      </c>
      <c r="F210" s="649">
        <f t="shared" si="18"/>
        <v>247.08</v>
      </c>
      <c r="H210" s="415"/>
    </row>
    <row r="211" spans="1:8" s="416" customFormat="1" ht="48">
      <c r="A211" s="658" t="s">
        <v>2439</v>
      </c>
      <c r="B211" s="660" t="s">
        <v>1008</v>
      </c>
      <c r="C211" s="653" t="s">
        <v>14</v>
      </c>
      <c r="D211" s="632">
        <f>M.CALCULO!D221</f>
        <v>2</v>
      </c>
      <c r="E211" s="633">
        <f>COMPOSIÇÕES!H1834</f>
        <v>411.74</v>
      </c>
      <c r="F211" s="649">
        <f t="shared" si="18"/>
        <v>823.48</v>
      </c>
      <c r="H211" s="415"/>
    </row>
    <row r="212" spans="1:8" s="416" customFormat="1" ht="24">
      <c r="A212" s="658" t="s">
        <v>2440</v>
      </c>
      <c r="B212" s="660" t="s">
        <v>524</v>
      </c>
      <c r="C212" s="653" t="s">
        <v>14</v>
      </c>
      <c r="D212" s="632">
        <f>M.CALCULO!D222</f>
        <v>1</v>
      </c>
      <c r="E212" s="633">
        <f>COMPOSIÇÕES!H1843</f>
        <v>16738.23</v>
      </c>
      <c r="F212" s="649">
        <f t="shared" si="18"/>
        <v>16738.23</v>
      </c>
      <c r="H212" s="415"/>
    </row>
    <row r="213" spans="1:8" s="416" customFormat="1" ht="24">
      <c r="A213" s="658" t="s">
        <v>2441</v>
      </c>
      <c r="B213" s="660" t="s">
        <v>2165</v>
      </c>
      <c r="C213" s="653" t="s">
        <v>14</v>
      </c>
      <c r="D213" s="632">
        <f>M.CALCULO!D223</f>
        <v>1</v>
      </c>
      <c r="E213" s="633">
        <f>COMPOSIÇÕES!H1853</f>
        <v>486.62</v>
      </c>
      <c r="F213" s="649">
        <f t="shared" si="18"/>
        <v>486.62</v>
      </c>
      <c r="H213" s="415"/>
    </row>
    <row r="214" spans="1:8" s="416" customFormat="1">
      <c r="A214" s="658" t="s">
        <v>2442</v>
      </c>
      <c r="B214" s="660" t="s">
        <v>475</v>
      </c>
      <c r="C214" s="653" t="s">
        <v>14</v>
      </c>
      <c r="D214" s="632">
        <f>M.CALCULO!D224</f>
        <v>40</v>
      </c>
      <c r="E214" s="633">
        <f>COMPOSIÇÕES!H1861</f>
        <v>35.04</v>
      </c>
      <c r="F214" s="649">
        <f t="shared" si="18"/>
        <v>1401.6</v>
      </c>
      <c r="H214" s="415"/>
    </row>
    <row r="215" spans="1:8" s="416" customFormat="1">
      <c r="A215" s="658" t="s">
        <v>2443</v>
      </c>
      <c r="B215" s="660" t="s">
        <v>1018</v>
      </c>
      <c r="C215" s="653" t="s">
        <v>14</v>
      </c>
      <c r="D215" s="632">
        <f>M.CALCULO!D225</f>
        <v>35</v>
      </c>
      <c r="E215" s="633">
        <f>COMPOSIÇÕES!H1870</f>
        <v>1.81</v>
      </c>
      <c r="F215" s="649">
        <f t="shared" si="18"/>
        <v>63.35</v>
      </c>
      <c r="H215" s="415"/>
    </row>
    <row r="216" spans="1:8" s="416" customFormat="1" ht="24">
      <c r="A216" s="658" t="s">
        <v>2444</v>
      </c>
      <c r="B216" s="660" t="s">
        <v>977</v>
      </c>
      <c r="C216" s="653" t="s">
        <v>15</v>
      </c>
      <c r="D216" s="632">
        <f>M.CALCULO!D226</f>
        <v>250</v>
      </c>
      <c r="E216" s="633">
        <f>COMPOSIÇÕES!H1881</f>
        <v>5.46</v>
      </c>
      <c r="F216" s="649">
        <f t="shared" si="18"/>
        <v>1365</v>
      </c>
      <c r="H216" s="415"/>
    </row>
    <row r="217" spans="1:8" s="416" customFormat="1">
      <c r="A217" s="658" t="s">
        <v>2445</v>
      </c>
      <c r="B217" s="660" t="s">
        <v>978</v>
      </c>
      <c r="C217" s="653" t="s">
        <v>14</v>
      </c>
      <c r="D217" s="632">
        <f>M.CALCULO!D227</f>
        <v>5</v>
      </c>
      <c r="E217" s="633">
        <f>COMPOSIÇÕES!H1891</f>
        <v>38.15</v>
      </c>
      <c r="F217" s="649">
        <f t="shared" si="18"/>
        <v>190.75</v>
      </c>
      <c r="H217" s="415"/>
    </row>
    <row r="218" spans="1:8" s="416" customFormat="1">
      <c r="A218" s="658" t="s">
        <v>2446</v>
      </c>
      <c r="B218" s="660" t="s">
        <v>1020</v>
      </c>
      <c r="C218" s="653" t="s">
        <v>14</v>
      </c>
      <c r="D218" s="632">
        <f>M.CALCULO!D228</f>
        <v>16</v>
      </c>
      <c r="E218" s="633">
        <f>COMPOSIÇÕES!H1901</f>
        <v>13.85</v>
      </c>
      <c r="F218" s="649">
        <f t="shared" si="18"/>
        <v>221.6</v>
      </c>
      <c r="H218" s="415"/>
    </row>
    <row r="219" spans="1:8" s="416" customFormat="1" ht="24">
      <c r="A219" s="658" t="s">
        <v>2447</v>
      </c>
      <c r="B219" s="630" t="s">
        <v>478</v>
      </c>
      <c r="C219" s="653" t="s">
        <v>14</v>
      </c>
      <c r="D219" s="632">
        <f>M.CALCULO!D229</f>
        <v>16</v>
      </c>
      <c r="E219" s="633">
        <f>COMPOSIÇÕES!H1901</f>
        <v>13.85</v>
      </c>
      <c r="F219" s="649">
        <f t="shared" si="18"/>
        <v>221.6</v>
      </c>
      <c r="H219" s="415"/>
    </row>
    <row r="220" spans="1:8" s="416" customFormat="1">
      <c r="A220" s="658" t="s">
        <v>2448</v>
      </c>
      <c r="B220" s="660" t="s">
        <v>1021</v>
      </c>
      <c r="C220" s="653" t="s">
        <v>14</v>
      </c>
      <c r="D220" s="632">
        <f>M.CALCULO!D230</f>
        <v>2</v>
      </c>
      <c r="E220" s="633">
        <f>COMPOSIÇÕES!H1920</f>
        <v>194.82999999999998</v>
      </c>
      <c r="F220" s="649">
        <f t="shared" si="18"/>
        <v>389.66</v>
      </c>
      <c r="H220" s="415"/>
    </row>
    <row r="221" spans="1:8" s="416" customFormat="1">
      <c r="A221" s="658" t="s">
        <v>2449</v>
      </c>
      <c r="B221" s="660" t="s">
        <v>1156</v>
      </c>
      <c r="C221" s="653" t="s">
        <v>14</v>
      </c>
      <c r="D221" s="632">
        <f>M.CALCULO!D231</f>
        <v>1</v>
      </c>
      <c r="E221" s="633">
        <f>COMPOSIÇÕES!H1928</f>
        <v>384.76</v>
      </c>
      <c r="F221" s="649">
        <f t="shared" si="18"/>
        <v>384.76</v>
      </c>
      <c r="H221" s="415"/>
    </row>
    <row r="222" spans="1:8" s="416" customFormat="1">
      <c r="A222" s="658" t="s">
        <v>2450</v>
      </c>
      <c r="B222" s="660" t="s">
        <v>1022</v>
      </c>
      <c r="C222" s="653" t="s">
        <v>14</v>
      </c>
      <c r="D222" s="632">
        <f>M.CALCULO!D232</f>
        <v>1</v>
      </c>
      <c r="E222" s="633">
        <f>COMPOSIÇÕES!H1938</f>
        <v>454.64</v>
      </c>
      <c r="F222" s="649">
        <f t="shared" si="18"/>
        <v>454.64</v>
      </c>
      <c r="H222" s="415"/>
    </row>
    <row r="223" spans="1:8" s="416" customFormat="1" ht="36">
      <c r="A223" s="658" t="s">
        <v>2451</v>
      </c>
      <c r="B223" s="660" t="s">
        <v>481</v>
      </c>
      <c r="C223" s="653" t="s">
        <v>14</v>
      </c>
      <c r="D223" s="632">
        <f>M.CALCULO!D233</f>
        <v>20</v>
      </c>
      <c r="E223" s="633">
        <f>COMPOSIÇÕES!H1948</f>
        <v>39.869999999999997</v>
      </c>
      <c r="F223" s="649">
        <f t="shared" si="18"/>
        <v>797.4</v>
      </c>
      <c r="H223" s="415"/>
    </row>
    <row r="224" spans="1:8" s="349" customFormat="1">
      <c r="A224" s="642"/>
      <c r="B224" s="643"/>
      <c r="C224" s="642"/>
      <c r="D224" s="644"/>
      <c r="E224" s="651"/>
      <c r="F224" s="652"/>
      <c r="H224" s="343"/>
    </row>
    <row r="225" spans="1:8">
      <c r="A225" s="705" t="s">
        <v>1250</v>
      </c>
      <c r="B225" s="699" t="s">
        <v>1979</v>
      </c>
      <c r="C225" s="706"/>
      <c r="D225" s="707"/>
      <c r="E225" s="702"/>
      <c r="F225" s="703">
        <f>SUM(F226:F243)</f>
        <v>67336.095551999984</v>
      </c>
    </row>
    <row r="226" spans="1:8" s="416" customFormat="1">
      <c r="A226" s="658" t="s">
        <v>2452</v>
      </c>
      <c r="B226" s="660" t="s">
        <v>948</v>
      </c>
      <c r="C226" s="653" t="s">
        <v>16</v>
      </c>
      <c r="D226" s="664">
        <f>M.CALCULO!D237</f>
        <v>13</v>
      </c>
      <c r="E226" s="633">
        <f>COMPOSIÇÕES!H1959</f>
        <v>33.676720000000003</v>
      </c>
      <c r="F226" s="649">
        <f>D226*E226</f>
        <v>437.79736000000003</v>
      </c>
      <c r="H226" s="415"/>
    </row>
    <row r="227" spans="1:8" s="416" customFormat="1">
      <c r="A227" s="658" t="s">
        <v>2453</v>
      </c>
      <c r="B227" s="660" t="s">
        <v>1533</v>
      </c>
      <c r="C227" s="653" t="s">
        <v>553</v>
      </c>
      <c r="D227" s="664">
        <f>M.CALCULO!D238</f>
        <v>10</v>
      </c>
      <c r="E227" s="633">
        <f>COMPOSIÇÕES!H1969</f>
        <v>3.9987200000000001</v>
      </c>
      <c r="F227" s="649">
        <f t="shared" ref="F227:F243" si="19">D227*E227</f>
        <v>39.987200000000001</v>
      </c>
      <c r="H227" s="415"/>
    </row>
    <row r="228" spans="1:8" s="416" customFormat="1">
      <c r="A228" s="658" t="s">
        <v>2454</v>
      </c>
      <c r="B228" s="660" t="s">
        <v>1534</v>
      </c>
      <c r="C228" s="653" t="s">
        <v>553</v>
      </c>
      <c r="D228" s="664">
        <f>M.CALCULO!D239</f>
        <v>14</v>
      </c>
      <c r="E228" s="633">
        <f>COMPOSIÇÕES!H1979</f>
        <v>15.345088000000001</v>
      </c>
      <c r="F228" s="649">
        <f t="shared" si="19"/>
        <v>214.831232</v>
      </c>
      <c r="H228" s="415"/>
    </row>
    <row r="229" spans="1:8" s="416" customFormat="1" ht="24">
      <c r="A229" s="658" t="s">
        <v>2455</v>
      </c>
      <c r="B229" s="630" t="s">
        <v>1546</v>
      </c>
      <c r="C229" s="653" t="s">
        <v>15</v>
      </c>
      <c r="D229" s="664">
        <f>M.CALCULO!D240</f>
        <v>80</v>
      </c>
      <c r="E229" s="633">
        <f>COMPOSIÇÕES!H1989</f>
        <v>10.096768000000001</v>
      </c>
      <c r="F229" s="649">
        <f t="shared" si="19"/>
        <v>807.74144000000001</v>
      </c>
      <c r="H229" s="415"/>
    </row>
    <row r="230" spans="1:8" s="416" customFormat="1" ht="24">
      <c r="A230" s="658" t="s">
        <v>2456</v>
      </c>
      <c r="B230" s="630" t="s">
        <v>1547</v>
      </c>
      <c r="C230" s="653" t="s">
        <v>15</v>
      </c>
      <c r="D230" s="664">
        <f>M.CALCULO!D241</f>
        <v>240</v>
      </c>
      <c r="E230" s="633">
        <f>COMPOSIÇÕES!H1999</f>
        <v>19.193856</v>
      </c>
      <c r="F230" s="649">
        <f t="shared" si="19"/>
        <v>4606.5254400000003</v>
      </c>
      <c r="H230" s="415"/>
    </row>
    <row r="231" spans="1:8" s="416" customFormat="1" ht="24">
      <c r="A231" s="658" t="s">
        <v>2457</v>
      </c>
      <c r="B231" s="630" t="s">
        <v>1548</v>
      </c>
      <c r="C231" s="653" t="s">
        <v>15</v>
      </c>
      <c r="D231" s="664">
        <f>M.CALCULO!D242</f>
        <v>80</v>
      </c>
      <c r="E231" s="633">
        <f>COMPOSIÇÕES!H1999</f>
        <v>19.193856</v>
      </c>
      <c r="F231" s="649">
        <f t="shared" si="19"/>
        <v>1535.50848</v>
      </c>
      <c r="H231" s="415"/>
    </row>
    <row r="232" spans="1:8" s="416" customFormat="1" ht="24">
      <c r="A232" s="658" t="s">
        <v>2458</v>
      </c>
      <c r="B232" s="630" t="s">
        <v>1549</v>
      </c>
      <c r="C232" s="653" t="s">
        <v>15</v>
      </c>
      <c r="D232" s="664">
        <f>M.CALCULO!D243</f>
        <v>110</v>
      </c>
      <c r="E232" s="633">
        <f>COMPOSIÇÕES!H2019</f>
        <v>35.676079999999999</v>
      </c>
      <c r="F232" s="649">
        <f t="shared" si="19"/>
        <v>3924.3687999999997</v>
      </c>
      <c r="H232" s="415"/>
    </row>
    <row r="233" spans="1:8" s="416" customFormat="1" ht="24">
      <c r="A233" s="658" t="s">
        <v>2459</v>
      </c>
      <c r="B233" s="630" t="s">
        <v>1550</v>
      </c>
      <c r="C233" s="653" t="s">
        <v>15</v>
      </c>
      <c r="D233" s="664">
        <f>M.CALCULO!D244</f>
        <v>330</v>
      </c>
      <c r="E233" s="633">
        <f>COMPOSIÇÕES!H2029</f>
        <v>56.669359999999998</v>
      </c>
      <c r="F233" s="649">
        <f t="shared" si="19"/>
        <v>18700.888800000001</v>
      </c>
      <c r="H233" s="415"/>
    </row>
    <row r="234" spans="1:8" s="416" customFormat="1" ht="24">
      <c r="A234" s="658" t="s">
        <v>2460</v>
      </c>
      <c r="B234" s="630" t="s">
        <v>1551</v>
      </c>
      <c r="C234" s="653" t="s">
        <v>15</v>
      </c>
      <c r="D234" s="664">
        <f>M.CALCULO!D245</f>
        <v>110</v>
      </c>
      <c r="E234" s="633">
        <f>COMPOSIÇÕES!H2029</f>
        <v>56.669359999999998</v>
      </c>
      <c r="F234" s="649">
        <f t="shared" si="19"/>
        <v>6233.6295999999993</v>
      </c>
      <c r="H234" s="415"/>
    </row>
    <row r="235" spans="1:8" s="416" customFormat="1" ht="48">
      <c r="A235" s="658" t="s">
        <v>2461</v>
      </c>
      <c r="B235" s="660" t="s">
        <v>839</v>
      </c>
      <c r="C235" s="653" t="s">
        <v>14</v>
      </c>
      <c r="D235" s="664">
        <f>M.CALCULO!D246</f>
        <v>3</v>
      </c>
      <c r="E235" s="633">
        <f>COMPOSIÇÕES!H2055</f>
        <v>196.886976</v>
      </c>
      <c r="F235" s="649">
        <f t="shared" si="19"/>
        <v>590.66092800000001</v>
      </c>
      <c r="H235" s="415"/>
    </row>
    <row r="236" spans="1:8" s="416" customFormat="1">
      <c r="A236" s="658" t="s">
        <v>2462</v>
      </c>
      <c r="B236" s="660" t="s">
        <v>1525</v>
      </c>
      <c r="C236" s="653" t="s">
        <v>14</v>
      </c>
      <c r="D236" s="664">
        <f>M.CALCULO!D247</f>
        <v>15</v>
      </c>
      <c r="E236" s="633">
        <f>COMPOSIÇÕES!H2065</f>
        <v>48.259552000000006</v>
      </c>
      <c r="F236" s="649">
        <f t="shared" si="19"/>
        <v>723.89328000000012</v>
      </c>
      <c r="H236" s="415"/>
    </row>
    <row r="237" spans="1:8" s="416" customFormat="1">
      <c r="A237" s="658" t="s">
        <v>2463</v>
      </c>
      <c r="B237" s="660" t="s">
        <v>1538</v>
      </c>
      <c r="C237" s="653" t="s">
        <v>14</v>
      </c>
      <c r="D237" s="664">
        <f>M.CALCULO!D248</f>
        <v>5</v>
      </c>
      <c r="E237" s="633">
        <f>COMPOSIÇÕES!H2075</f>
        <v>7.5850720000000003</v>
      </c>
      <c r="F237" s="649">
        <f t="shared" si="19"/>
        <v>37.925359999999998</v>
      </c>
      <c r="H237" s="415"/>
    </row>
    <row r="238" spans="1:8" s="416" customFormat="1">
      <c r="A238" s="658" t="s">
        <v>2464</v>
      </c>
      <c r="B238" s="660" t="s">
        <v>1539</v>
      </c>
      <c r="C238" s="653" t="s">
        <v>14</v>
      </c>
      <c r="D238" s="664">
        <f>M.CALCULO!D249</f>
        <v>2</v>
      </c>
      <c r="E238" s="633">
        <f>COMPOSIÇÕES!H2085</f>
        <v>7.0352479999999993</v>
      </c>
      <c r="F238" s="649">
        <f t="shared" si="19"/>
        <v>14.070495999999999</v>
      </c>
      <c r="H238" s="415"/>
    </row>
    <row r="239" spans="1:8" s="416" customFormat="1">
      <c r="A239" s="658" t="s">
        <v>2465</v>
      </c>
      <c r="B239" s="660" t="s">
        <v>1540</v>
      </c>
      <c r="C239" s="653" t="s">
        <v>14</v>
      </c>
      <c r="D239" s="664">
        <f>M.CALCULO!D250</f>
        <v>2</v>
      </c>
      <c r="E239" s="633">
        <f>COMPOSIÇÕES!H2095</f>
        <v>17.394431999999998</v>
      </c>
      <c r="F239" s="649">
        <f t="shared" si="19"/>
        <v>34.788863999999997</v>
      </c>
      <c r="H239" s="415"/>
    </row>
    <row r="240" spans="1:8" s="416" customFormat="1">
      <c r="A240" s="658" t="s">
        <v>2466</v>
      </c>
      <c r="B240" s="660" t="s">
        <v>1541</v>
      </c>
      <c r="C240" s="653" t="s">
        <v>14</v>
      </c>
      <c r="D240" s="664">
        <f>M.CALCULO!D251</f>
        <v>2</v>
      </c>
      <c r="E240" s="633">
        <f>COMPOSIÇÕES!H2105</f>
        <v>65.116656000000006</v>
      </c>
      <c r="F240" s="649">
        <f t="shared" si="19"/>
        <v>130.23331200000001</v>
      </c>
      <c r="H240" s="415"/>
    </row>
    <row r="241" spans="1:8" s="416" customFormat="1" ht="48">
      <c r="A241" s="658" t="s">
        <v>2467</v>
      </c>
      <c r="B241" s="660" t="s">
        <v>1542</v>
      </c>
      <c r="C241" s="653" t="s">
        <v>15</v>
      </c>
      <c r="D241" s="664">
        <f>M.CALCULO!D252</f>
        <v>100</v>
      </c>
      <c r="E241" s="633">
        <f>COMPOSIÇÕES!H2115</f>
        <v>20.49344</v>
      </c>
      <c r="F241" s="649">
        <f t="shared" si="19"/>
        <v>2049.3440000000001</v>
      </c>
      <c r="H241" s="415"/>
    </row>
    <row r="242" spans="1:8" s="416" customFormat="1" ht="24">
      <c r="A242" s="658" t="s">
        <v>2468</v>
      </c>
      <c r="B242" s="660" t="s">
        <v>1543</v>
      </c>
      <c r="C242" s="653" t="s">
        <v>15</v>
      </c>
      <c r="D242" s="664">
        <f>M.CALCULO!D253</f>
        <v>120</v>
      </c>
      <c r="E242" s="633">
        <f>COMPOSIÇÕES!H2125</f>
        <v>217.342928</v>
      </c>
      <c r="F242" s="649">
        <f t="shared" si="19"/>
        <v>26081.15136</v>
      </c>
      <c r="H242" s="415"/>
    </row>
    <row r="243" spans="1:8" s="416" customFormat="1" ht="24">
      <c r="A243" s="658" t="s">
        <v>2469</v>
      </c>
      <c r="B243" s="660" t="s">
        <v>1564</v>
      </c>
      <c r="C243" s="653" t="s">
        <v>97</v>
      </c>
      <c r="D243" s="664">
        <f>M.CALCULO!D254</f>
        <v>50</v>
      </c>
      <c r="E243" s="633">
        <f>COMPOSIÇÕES!H2133</f>
        <v>23.454991999999997</v>
      </c>
      <c r="F243" s="649">
        <f t="shared" si="19"/>
        <v>1172.7495999999999</v>
      </c>
      <c r="H243" s="415"/>
    </row>
    <row r="244" spans="1:8" s="349" customFormat="1">
      <c r="A244" s="642"/>
      <c r="B244" s="643"/>
      <c r="C244" s="642"/>
      <c r="D244" s="644"/>
      <c r="E244" s="651"/>
      <c r="F244" s="652"/>
      <c r="H244" s="343"/>
    </row>
    <row r="245" spans="1:8" s="349" customFormat="1">
      <c r="A245" s="681">
        <v>19</v>
      </c>
      <c r="B245" s="682" t="s">
        <v>1982</v>
      </c>
      <c r="C245" s="681"/>
      <c r="D245" s="683"/>
      <c r="E245" s="691"/>
      <c r="F245" s="692">
        <f>F246+F298+F334</f>
        <v>83686.95</v>
      </c>
      <c r="H245" s="343"/>
    </row>
    <row r="246" spans="1:8">
      <c r="A246" s="705" t="s">
        <v>2470</v>
      </c>
      <c r="B246" s="699" t="s">
        <v>1983</v>
      </c>
      <c r="C246" s="706"/>
      <c r="D246" s="707"/>
      <c r="E246" s="702"/>
      <c r="F246" s="703">
        <f>SUM(F247:F296)</f>
        <v>16093.93</v>
      </c>
    </row>
    <row r="247" spans="1:8" s="416" customFormat="1">
      <c r="A247" s="658" t="s">
        <v>2471</v>
      </c>
      <c r="B247" s="630" t="s">
        <v>32</v>
      </c>
      <c r="C247" s="631" t="s">
        <v>14</v>
      </c>
      <c r="D247" s="664">
        <f>M.CALCULO!D259</f>
        <v>18</v>
      </c>
      <c r="E247" s="633">
        <f>COMPOSIÇÕES!H2148</f>
        <v>2.5499999999999998</v>
      </c>
      <c r="F247" s="649">
        <f t="shared" ref="F247:F296" si="20">ROUND(D247*E247,2)</f>
        <v>45.9</v>
      </c>
      <c r="H247" s="415"/>
    </row>
    <row r="248" spans="1:8" s="416" customFormat="1">
      <c r="A248" s="658" t="s">
        <v>2472</v>
      </c>
      <c r="B248" s="630" t="s">
        <v>33</v>
      </c>
      <c r="C248" s="631" t="s">
        <v>14</v>
      </c>
      <c r="D248" s="664">
        <f>M.CALCULO!D260</f>
        <v>2</v>
      </c>
      <c r="E248" s="633">
        <f>COMPOSIÇÕES!H2161</f>
        <v>3.5</v>
      </c>
      <c r="F248" s="649">
        <f t="shared" si="20"/>
        <v>7</v>
      </c>
      <c r="H248" s="415"/>
    </row>
    <row r="249" spans="1:8" s="416" customFormat="1">
      <c r="A249" s="658" t="s">
        <v>2473</v>
      </c>
      <c r="B249" s="630" t="s">
        <v>34</v>
      </c>
      <c r="C249" s="631" t="s">
        <v>14</v>
      </c>
      <c r="D249" s="664">
        <f>M.CALCULO!D261</f>
        <v>8</v>
      </c>
      <c r="E249" s="633">
        <f>COMPOSIÇÕES!H2174</f>
        <v>9.9700000000000006</v>
      </c>
      <c r="F249" s="649">
        <f t="shared" si="20"/>
        <v>79.760000000000005</v>
      </c>
      <c r="H249" s="415"/>
    </row>
    <row r="250" spans="1:8" s="416" customFormat="1">
      <c r="A250" s="658" t="s">
        <v>2474</v>
      </c>
      <c r="B250" s="630" t="s">
        <v>405</v>
      </c>
      <c r="C250" s="631" t="s">
        <v>14</v>
      </c>
      <c r="D250" s="664">
        <f>M.CALCULO!D262</f>
        <v>8</v>
      </c>
      <c r="E250" s="633">
        <f>COMPOSIÇÕES!H2187</f>
        <v>37.19</v>
      </c>
      <c r="F250" s="649">
        <f t="shared" si="20"/>
        <v>297.52</v>
      </c>
      <c r="H250" s="415"/>
    </row>
    <row r="251" spans="1:8" s="416" customFormat="1" ht="24">
      <c r="A251" s="658" t="s">
        <v>2475</v>
      </c>
      <c r="B251" s="630" t="s">
        <v>753</v>
      </c>
      <c r="C251" s="631" t="s">
        <v>14</v>
      </c>
      <c r="D251" s="664">
        <f>M.CALCULO!D263</f>
        <v>17</v>
      </c>
      <c r="E251" s="633">
        <f>COMPOSIÇÕES!H2199</f>
        <v>3.65</v>
      </c>
      <c r="F251" s="649">
        <f t="shared" si="20"/>
        <v>62.05</v>
      </c>
      <c r="H251" s="415"/>
    </row>
    <row r="252" spans="1:8" s="416" customFormat="1" ht="24">
      <c r="A252" s="658" t="s">
        <v>2476</v>
      </c>
      <c r="B252" s="630" t="s">
        <v>755</v>
      </c>
      <c r="C252" s="631" t="s">
        <v>14</v>
      </c>
      <c r="D252" s="664">
        <f>M.CALCULO!D264</f>
        <v>6</v>
      </c>
      <c r="E252" s="633">
        <f>COMPOSIÇÕES!H2211</f>
        <v>4.2200000000000006</v>
      </c>
      <c r="F252" s="649">
        <f t="shared" si="20"/>
        <v>25.32</v>
      </c>
      <c r="H252" s="415"/>
    </row>
    <row r="253" spans="1:8" s="416" customFormat="1">
      <c r="A253" s="658" t="s">
        <v>2477</v>
      </c>
      <c r="B253" s="630" t="s">
        <v>55</v>
      </c>
      <c r="C253" s="631" t="s">
        <v>14</v>
      </c>
      <c r="D253" s="664">
        <f>M.CALCULO!D265</f>
        <v>4</v>
      </c>
      <c r="E253" s="633">
        <f>COMPOSIÇÕES!H2223</f>
        <v>13.45</v>
      </c>
      <c r="F253" s="649">
        <f t="shared" si="20"/>
        <v>53.8</v>
      </c>
      <c r="H253" s="415"/>
    </row>
    <row r="254" spans="1:8" s="416" customFormat="1">
      <c r="A254" s="658" t="s">
        <v>2478</v>
      </c>
      <c r="B254" s="630" t="s">
        <v>54</v>
      </c>
      <c r="C254" s="631" t="s">
        <v>14</v>
      </c>
      <c r="D254" s="664">
        <f>M.CALCULO!D266</f>
        <v>1</v>
      </c>
      <c r="E254" s="633">
        <f>COMPOSIÇÕES!H2235</f>
        <v>18.48</v>
      </c>
      <c r="F254" s="649">
        <f t="shared" si="20"/>
        <v>18.48</v>
      </c>
      <c r="H254" s="415"/>
    </row>
    <row r="255" spans="1:8" s="416" customFormat="1">
      <c r="A255" s="658" t="s">
        <v>2479</v>
      </c>
      <c r="B255" s="630" t="s">
        <v>273</v>
      </c>
      <c r="C255" s="631" t="s">
        <v>14</v>
      </c>
      <c r="D255" s="664">
        <f>M.CALCULO!D267</f>
        <v>1</v>
      </c>
      <c r="E255" s="633">
        <f>COMPOSIÇÕES!H2247</f>
        <v>57.429999999999993</v>
      </c>
      <c r="F255" s="649">
        <f t="shared" si="20"/>
        <v>57.43</v>
      </c>
      <c r="H255" s="415"/>
    </row>
    <row r="256" spans="1:8" s="416" customFormat="1">
      <c r="A256" s="658" t="s">
        <v>2480</v>
      </c>
      <c r="B256" s="630" t="s">
        <v>274</v>
      </c>
      <c r="C256" s="631" t="s">
        <v>14</v>
      </c>
      <c r="D256" s="664">
        <f>M.CALCULO!D268</f>
        <v>7</v>
      </c>
      <c r="E256" s="633">
        <f>COMPOSIÇÕES!H2259</f>
        <v>5.2399999999999993</v>
      </c>
      <c r="F256" s="649">
        <f t="shared" si="20"/>
        <v>36.68</v>
      </c>
      <c r="H256" s="415"/>
    </row>
    <row r="257" spans="1:8" s="416" customFormat="1">
      <c r="A257" s="658" t="s">
        <v>2481</v>
      </c>
      <c r="B257" s="630" t="s">
        <v>56</v>
      </c>
      <c r="C257" s="631" t="s">
        <v>14</v>
      </c>
      <c r="D257" s="664">
        <f>M.CALCULO!D269</f>
        <v>3</v>
      </c>
      <c r="E257" s="633">
        <f>COMPOSIÇÕES!H2271</f>
        <v>6.05</v>
      </c>
      <c r="F257" s="649">
        <f t="shared" si="20"/>
        <v>18.149999999999999</v>
      </c>
      <c r="H257" s="415"/>
    </row>
    <row r="258" spans="1:8" s="416" customFormat="1">
      <c r="A258" s="658" t="s">
        <v>2482</v>
      </c>
      <c r="B258" s="630" t="s">
        <v>275</v>
      </c>
      <c r="C258" s="631" t="s">
        <v>14</v>
      </c>
      <c r="D258" s="664">
        <f>M.CALCULO!D270</f>
        <v>5</v>
      </c>
      <c r="E258" s="633">
        <f>COMPOSIÇÕES!H2283</f>
        <v>7.3400000000000007</v>
      </c>
      <c r="F258" s="649">
        <f t="shared" si="20"/>
        <v>36.700000000000003</v>
      </c>
      <c r="H258" s="415"/>
    </row>
    <row r="259" spans="1:8" s="416" customFormat="1">
      <c r="A259" s="658" t="s">
        <v>2483</v>
      </c>
      <c r="B259" s="630" t="s">
        <v>276</v>
      </c>
      <c r="C259" s="631" t="s">
        <v>14</v>
      </c>
      <c r="D259" s="664">
        <f>M.CALCULO!D271</f>
        <v>1</v>
      </c>
      <c r="E259" s="633">
        <f>COMPOSIÇÕES!H2295</f>
        <v>18.03</v>
      </c>
      <c r="F259" s="649">
        <f t="shared" si="20"/>
        <v>18.03</v>
      </c>
      <c r="H259" s="415"/>
    </row>
    <row r="260" spans="1:8" s="416" customFormat="1">
      <c r="A260" s="658" t="s">
        <v>2484</v>
      </c>
      <c r="B260" s="630" t="s">
        <v>57</v>
      </c>
      <c r="C260" s="631" t="s">
        <v>14</v>
      </c>
      <c r="D260" s="664">
        <f>M.CALCULO!D272</f>
        <v>4</v>
      </c>
      <c r="E260" s="633">
        <f>COMPOSIÇÕES!H2307</f>
        <v>20.439999999999998</v>
      </c>
      <c r="F260" s="649">
        <f t="shared" si="20"/>
        <v>81.760000000000005</v>
      </c>
      <c r="H260" s="415"/>
    </row>
    <row r="261" spans="1:8" s="416" customFormat="1">
      <c r="A261" s="658" t="s">
        <v>2485</v>
      </c>
      <c r="B261" s="630" t="s">
        <v>277</v>
      </c>
      <c r="C261" s="631" t="s">
        <v>14</v>
      </c>
      <c r="D261" s="664">
        <f>M.CALCULO!D273</f>
        <v>2</v>
      </c>
      <c r="E261" s="633">
        <f>COMPOSIÇÕES!H2319</f>
        <v>22.54</v>
      </c>
      <c r="F261" s="649">
        <f t="shared" si="20"/>
        <v>45.08</v>
      </c>
      <c r="H261" s="415"/>
    </row>
    <row r="262" spans="1:8" s="416" customFormat="1">
      <c r="A262" s="658" t="s">
        <v>2486</v>
      </c>
      <c r="B262" s="630" t="s">
        <v>278</v>
      </c>
      <c r="C262" s="631" t="s">
        <v>14</v>
      </c>
      <c r="D262" s="664">
        <f>M.CALCULO!D274</f>
        <v>1</v>
      </c>
      <c r="E262" s="633">
        <f>COMPOSIÇÕES!H2331</f>
        <v>31.130000000000003</v>
      </c>
      <c r="F262" s="649">
        <f t="shared" si="20"/>
        <v>31.13</v>
      </c>
      <c r="H262" s="415"/>
    </row>
    <row r="263" spans="1:8" s="416" customFormat="1">
      <c r="A263" s="658" t="s">
        <v>2487</v>
      </c>
      <c r="B263" s="630" t="s">
        <v>279</v>
      </c>
      <c r="C263" s="631" t="s">
        <v>14</v>
      </c>
      <c r="D263" s="664">
        <f>M.CALCULO!D275</f>
        <v>1</v>
      </c>
      <c r="E263" s="633">
        <f>COMPOSIÇÕES!H2343</f>
        <v>32.359999999999992</v>
      </c>
      <c r="F263" s="649">
        <f t="shared" si="20"/>
        <v>32.36</v>
      </c>
      <c r="H263" s="415"/>
    </row>
    <row r="264" spans="1:8" s="416" customFormat="1">
      <c r="A264" s="658" t="s">
        <v>2488</v>
      </c>
      <c r="B264" s="630" t="s">
        <v>40</v>
      </c>
      <c r="C264" s="631" t="s">
        <v>14</v>
      </c>
      <c r="D264" s="664">
        <f>M.CALCULO!D276</f>
        <v>22</v>
      </c>
      <c r="E264" s="633">
        <f>COMPOSIÇÕES!H2355</f>
        <v>4.17</v>
      </c>
      <c r="F264" s="649">
        <f t="shared" si="20"/>
        <v>91.74</v>
      </c>
      <c r="H264" s="415"/>
    </row>
    <row r="265" spans="1:8" s="416" customFormat="1">
      <c r="A265" s="658" t="s">
        <v>2489</v>
      </c>
      <c r="B265" s="630" t="s">
        <v>41</v>
      </c>
      <c r="C265" s="631" t="s">
        <v>14</v>
      </c>
      <c r="D265" s="664">
        <f>M.CALCULO!D277</f>
        <v>7</v>
      </c>
      <c r="E265" s="633">
        <f>COMPOSIÇÕES!H2367</f>
        <v>5.01</v>
      </c>
      <c r="F265" s="649">
        <f t="shared" si="20"/>
        <v>35.07</v>
      </c>
      <c r="H265" s="415"/>
    </row>
    <row r="266" spans="1:8" s="416" customFormat="1">
      <c r="A266" s="658" t="s">
        <v>2490</v>
      </c>
      <c r="B266" s="630" t="s">
        <v>42</v>
      </c>
      <c r="C266" s="631" t="s">
        <v>14</v>
      </c>
      <c r="D266" s="664">
        <f>M.CALCULO!D278</f>
        <v>16</v>
      </c>
      <c r="E266" s="633">
        <f>COMPOSIÇÕES!H2379</f>
        <v>8.5</v>
      </c>
      <c r="F266" s="649">
        <f t="shared" si="20"/>
        <v>136</v>
      </c>
      <c r="H266" s="415"/>
    </row>
    <row r="267" spans="1:8" s="416" customFormat="1">
      <c r="A267" s="658" t="s">
        <v>2491</v>
      </c>
      <c r="B267" s="630" t="s">
        <v>43</v>
      </c>
      <c r="C267" s="631" t="s">
        <v>14</v>
      </c>
      <c r="D267" s="664">
        <f>M.CALCULO!D279</f>
        <v>3</v>
      </c>
      <c r="E267" s="633">
        <f>COMPOSIÇÕES!H2391</f>
        <v>58.36</v>
      </c>
      <c r="F267" s="649">
        <f t="shared" si="20"/>
        <v>175.08</v>
      </c>
      <c r="H267" s="415"/>
    </row>
    <row r="268" spans="1:8" s="416" customFormat="1">
      <c r="A268" s="658" t="s">
        <v>2492</v>
      </c>
      <c r="B268" s="630" t="s">
        <v>280</v>
      </c>
      <c r="C268" s="631" t="s">
        <v>14</v>
      </c>
      <c r="D268" s="664">
        <f>M.CALCULO!D280</f>
        <v>5</v>
      </c>
      <c r="E268" s="633">
        <f>COMPOSIÇÕES!H2403</f>
        <v>65.83</v>
      </c>
      <c r="F268" s="649">
        <f t="shared" si="20"/>
        <v>329.15</v>
      </c>
      <c r="H268" s="415"/>
    </row>
    <row r="269" spans="1:8" s="416" customFormat="1">
      <c r="A269" s="658" t="s">
        <v>2493</v>
      </c>
      <c r="B269" s="630" t="s">
        <v>281</v>
      </c>
      <c r="C269" s="631" t="s">
        <v>14</v>
      </c>
      <c r="D269" s="664">
        <f>M.CALCULO!D281</f>
        <v>1</v>
      </c>
      <c r="E269" s="633">
        <f>COMPOSIÇÕES!H2415</f>
        <v>143.51999999999998</v>
      </c>
      <c r="F269" s="649">
        <f t="shared" si="20"/>
        <v>143.52000000000001</v>
      </c>
      <c r="H269" s="415"/>
    </row>
    <row r="270" spans="1:8" s="416" customFormat="1">
      <c r="A270" s="658" t="s">
        <v>2494</v>
      </c>
      <c r="B270" s="630" t="s">
        <v>44</v>
      </c>
      <c r="C270" s="631" t="s">
        <v>14</v>
      </c>
      <c r="D270" s="664">
        <f>M.CALCULO!D282</f>
        <v>34</v>
      </c>
      <c r="E270" s="633">
        <f>COMPOSIÇÕES!H2426</f>
        <v>7.82</v>
      </c>
      <c r="F270" s="649">
        <f t="shared" si="20"/>
        <v>265.88</v>
      </c>
      <c r="H270" s="415"/>
    </row>
    <row r="271" spans="1:8" s="416" customFormat="1">
      <c r="A271" s="658" t="s">
        <v>2495</v>
      </c>
      <c r="B271" s="630" t="s">
        <v>45</v>
      </c>
      <c r="C271" s="631" t="s">
        <v>14</v>
      </c>
      <c r="D271" s="664">
        <f>M.CALCULO!D283</f>
        <v>23</v>
      </c>
      <c r="E271" s="633">
        <f>COMPOSIÇÕES!H2437</f>
        <v>8.32</v>
      </c>
      <c r="F271" s="649">
        <f t="shared" si="20"/>
        <v>191.36</v>
      </c>
      <c r="H271" s="415"/>
    </row>
    <row r="272" spans="1:8" s="416" customFormat="1">
      <c r="A272" s="658" t="s">
        <v>2496</v>
      </c>
      <c r="B272" s="630" t="s">
        <v>35</v>
      </c>
      <c r="C272" s="631" t="s">
        <v>15</v>
      </c>
      <c r="D272" s="664">
        <f>M.CALCULO!D284</f>
        <v>60.25</v>
      </c>
      <c r="E272" s="633">
        <f>COMPOSIÇÕES!H2449</f>
        <v>11.83</v>
      </c>
      <c r="F272" s="649">
        <f t="shared" si="20"/>
        <v>712.76</v>
      </c>
      <c r="H272" s="415"/>
    </row>
    <row r="273" spans="1:8" s="416" customFormat="1">
      <c r="A273" s="658" t="s">
        <v>2497</v>
      </c>
      <c r="B273" s="630" t="s">
        <v>36</v>
      </c>
      <c r="C273" s="631" t="s">
        <v>15</v>
      </c>
      <c r="D273" s="664">
        <f>M.CALCULO!D285</f>
        <v>33.01</v>
      </c>
      <c r="E273" s="633">
        <f>COMPOSIÇÕES!H2461</f>
        <v>15.280000000000001</v>
      </c>
      <c r="F273" s="649">
        <f t="shared" si="20"/>
        <v>504.39</v>
      </c>
      <c r="H273" s="415"/>
    </row>
    <row r="274" spans="1:8" s="416" customFormat="1">
      <c r="A274" s="658" t="s">
        <v>2498</v>
      </c>
      <c r="B274" s="630" t="s">
        <v>284</v>
      </c>
      <c r="C274" s="631" t="s">
        <v>15</v>
      </c>
      <c r="D274" s="664">
        <f>M.CALCULO!D286</f>
        <v>5.98</v>
      </c>
      <c r="E274" s="633">
        <f>COMPOSIÇÕES!H2473</f>
        <v>20.830000000000002</v>
      </c>
      <c r="F274" s="649">
        <f t="shared" si="20"/>
        <v>124.56</v>
      </c>
      <c r="H274" s="415"/>
    </row>
    <row r="275" spans="1:8" s="416" customFormat="1">
      <c r="A275" s="658" t="s">
        <v>2499</v>
      </c>
      <c r="B275" s="630" t="s">
        <v>37</v>
      </c>
      <c r="C275" s="631" t="s">
        <v>15</v>
      </c>
      <c r="D275" s="664">
        <f>M.CALCULO!D287</f>
        <v>62.19</v>
      </c>
      <c r="E275" s="633">
        <f>COMPOSIÇÕES!H2485</f>
        <v>23.869999999999997</v>
      </c>
      <c r="F275" s="649">
        <f t="shared" si="20"/>
        <v>1484.48</v>
      </c>
      <c r="H275" s="415"/>
    </row>
    <row r="276" spans="1:8" s="416" customFormat="1">
      <c r="A276" s="658" t="s">
        <v>2500</v>
      </c>
      <c r="B276" s="630" t="s">
        <v>38</v>
      </c>
      <c r="C276" s="631" t="s">
        <v>15</v>
      </c>
      <c r="D276" s="664">
        <f>M.CALCULO!D288</f>
        <v>2.14</v>
      </c>
      <c r="E276" s="633">
        <f>COMPOSIÇÕES!H2497</f>
        <v>36.130000000000003</v>
      </c>
      <c r="F276" s="649">
        <f t="shared" si="20"/>
        <v>77.319999999999993</v>
      </c>
      <c r="H276" s="415"/>
    </row>
    <row r="277" spans="1:8" s="416" customFormat="1">
      <c r="A277" s="658" t="s">
        <v>2501</v>
      </c>
      <c r="B277" s="630" t="s">
        <v>39</v>
      </c>
      <c r="C277" s="631" t="s">
        <v>15</v>
      </c>
      <c r="D277" s="664">
        <f>M.CALCULO!D289</f>
        <v>5.8</v>
      </c>
      <c r="E277" s="633">
        <f>COMPOSIÇÕES!H2509</f>
        <v>52.3</v>
      </c>
      <c r="F277" s="649">
        <f t="shared" si="20"/>
        <v>303.33999999999997</v>
      </c>
      <c r="H277" s="415"/>
    </row>
    <row r="278" spans="1:8" s="416" customFormat="1">
      <c r="A278" s="658" t="s">
        <v>2502</v>
      </c>
      <c r="B278" s="630" t="s">
        <v>282</v>
      </c>
      <c r="C278" s="631" t="s">
        <v>15</v>
      </c>
      <c r="D278" s="664">
        <f>M.CALCULO!D290</f>
        <v>22.06</v>
      </c>
      <c r="E278" s="633">
        <f>COMPOSIÇÕES!H2521</f>
        <v>63.599999999999994</v>
      </c>
      <c r="F278" s="649">
        <f t="shared" si="20"/>
        <v>1403.02</v>
      </c>
      <c r="H278" s="415"/>
    </row>
    <row r="279" spans="1:8" s="416" customFormat="1">
      <c r="A279" s="658" t="s">
        <v>2503</v>
      </c>
      <c r="B279" s="630" t="s">
        <v>283</v>
      </c>
      <c r="C279" s="631" t="s">
        <v>15</v>
      </c>
      <c r="D279" s="664">
        <f>M.CALCULO!D291</f>
        <v>89.06</v>
      </c>
      <c r="E279" s="633">
        <f>COMPOSIÇÕES!H2533</f>
        <v>86.77</v>
      </c>
      <c r="F279" s="649">
        <f t="shared" si="20"/>
        <v>7727.74</v>
      </c>
      <c r="H279" s="415"/>
    </row>
    <row r="280" spans="1:8" s="416" customFormat="1">
      <c r="A280" s="658" t="s">
        <v>2504</v>
      </c>
      <c r="B280" s="630" t="s">
        <v>48</v>
      </c>
      <c r="C280" s="631" t="s">
        <v>14</v>
      </c>
      <c r="D280" s="664">
        <f>M.CALCULO!D292</f>
        <v>6</v>
      </c>
      <c r="E280" s="633">
        <f>COMPOSIÇÕES!H2545</f>
        <v>4.74</v>
      </c>
      <c r="F280" s="649">
        <f t="shared" si="20"/>
        <v>28.44</v>
      </c>
      <c r="H280" s="415"/>
    </row>
    <row r="281" spans="1:8" s="416" customFormat="1">
      <c r="A281" s="658" t="s">
        <v>2505</v>
      </c>
      <c r="B281" s="630" t="s">
        <v>49</v>
      </c>
      <c r="C281" s="631" t="s">
        <v>14</v>
      </c>
      <c r="D281" s="664">
        <f>M.CALCULO!D293</f>
        <v>4</v>
      </c>
      <c r="E281" s="633">
        <f>COMPOSIÇÕES!H2557</f>
        <v>6.77</v>
      </c>
      <c r="F281" s="649">
        <f t="shared" si="20"/>
        <v>27.08</v>
      </c>
      <c r="H281" s="415"/>
    </row>
    <row r="282" spans="1:8" s="416" customFormat="1">
      <c r="A282" s="658" t="s">
        <v>2506</v>
      </c>
      <c r="B282" s="630" t="s">
        <v>285</v>
      </c>
      <c r="C282" s="631" t="s">
        <v>14</v>
      </c>
      <c r="D282" s="664">
        <f>M.CALCULO!D294</f>
        <v>1</v>
      </c>
      <c r="E282" s="633">
        <f>COMPOSIÇÕES!H2569</f>
        <v>11.850000000000001</v>
      </c>
      <c r="F282" s="649">
        <f t="shared" si="20"/>
        <v>11.85</v>
      </c>
      <c r="H282" s="415"/>
    </row>
    <row r="283" spans="1:8" s="416" customFormat="1">
      <c r="A283" s="658" t="s">
        <v>2507</v>
      </c>
      <c r="B283" s="630" t="s">
        <v>50</v>
      </c>
      <c r="C283" s="631" t="s">
        <v>14</v>
      </c>
      <c r="D283" s="664">
        <f>M.CALCULO!D295</f>
        <v>2</v>
      </c>
      <c r="E283" s="633">
        <f>COMPOSIÇÕES!H2581</f>
        <v>13.18</v>
      </c>
      <c r="F283" s="649">
        <f t="shared" si="20"/>
        <v>26.36</v>
      </c>
      <c r="H283" s="415"/>
    </row>
    <row r="284" spans="1:8" s="416" customFormat="1">
      <c r="A284" s="658" t="s">
        <v>2508</v>
      </c>
      <c r="B284" s="630" t="s">
        <v>51</v>
      </c>
      <c r="C284" s="631" t="s">
        <v>14</v>
      </c>
      <c r="D284" s="664">
        <f>M.CALCULO!D296</f>
        <v>2</v>
      </c>
      <c r="E284" s="633">
        <f>COMPOSIÇÕES!H2593</f>
        <v>34.19</v>
      </c>
      <c r="F284" s="649">
        <f t="shared" si="20"/>
        <v>68.38</v>
      </c>
      <c r="H284" s="415"/>
    </row>
    <row r="285" spans="1:8" s="416" customFormat="1">
      <c r="A285" s="658" t="s">
        <v>2509</v>
      </c>
      <c r="B285" s="630" t="s">
        <v>52</v>
      </c>
      <c r="C285" s="631" t="s">
        <v>14</v>
      </c>
      <c r="D285" s="664">
        <f>M.CALCULO!D297</f>
        <v>1</v>
      </c>
      <c r="E285" s="633">
        <f>COMPOSIÇÕES!H2605</f>
        <v>53.91</v>
      </c>
      <c r="F285" s="649">
        <f t="shared" si="20"/>
        <v>53.91</v>
      </c>
      <c r="H285" s="415"/>
    </row>
    <row r="286" spans="1:8" s="416" customFormat="1">
      <c r="A286" s="658" t="s">
        <v>2510</v>
      </c>
      <c r="B286" s="630" t="s">
        <v>286</v>
      </c>
      <c r="C286" s="631" t="s">
        <v>14</v>
      </c>
      <c r="D286" s="664">
        <f>M.CALCULO!D298</f>
        <v>2</v>
      </c>
      <c r="E286" s="633">
        <f>COMPOSIÇÕES!H2617</f>
        <v>72.33</v>
      </c>
      <c r="F286" s="649">
        <f t="shared" si="20"/>
        <v>144.66</v>
      </c>
      <c r="H286" s="415"/>
    </row>
    <row r="287" spans="1:8" s="416" customFormat="1">
      <c r="A287" s="658" t="s">
        <v>2511</v>
      </c>
      <c r="B287" s="630" t="s">
        <v>287</v>
      </c>
      <c r="C287" s="631" t="s">
        <v>14</v>
      </c>
      <c r="D287" s="664">
        <f>M.CALCULO!D299</f>
        <v>1</v>
      </c>
      <c r="E287" s="633">
        <f>COMPOSIÇÕES!H2629</f>
        <v>140.69</v>
      </c>
      <c r="F287" s="649">
        <f t="shared" si="20"/>
        <v>140.69</v>
      </c>
      <c r="H287" s="415"/>
    </row>
    <row r="288" spans="1:8" s="416" customFormat="1">
      <c r="A288" s="658" t="s">
        <v>2512</v>
      </c>
      <c r="B288" s="630" t="s">
        <v>53</v>
      </c>
      <c r="C288" s="631" t="s">
        <v>14</v>
      </c>
      <c r="D288" s="664">
        <f>M.CALCULO!D300</f>
        <v>22</v>
      </c>
      <c r="E288" s="633">
        <f>COMPOSIÇÕES!H2641</f>
        <v>8.86</v>
      </c>
      <c r="F288" s="649">
        <f t="shared" si="20"/>
        <v>194.92</v>
      </c>
      <c r="H288" s="415"/>
    </row>
    <row r="289" spans="1:8" s="416" customFormat="1">
      <c r="A289" s="658" t="s">
        <v>2513</v>
      </c>
      <c r="B289" s="630" t="s">
        <v>288</v>
      </c>
      <c r="C289" s="631" t="s">
        <v>14</v>
      </c>
      <c r="D289" s="664">
        <f>M.CALCULO!D301</f>
        <v>6</v>
      </c>
      <c r="E289" s="633">
        <f>COMPOSIÇÕES!H2653</f>
        <v>10.76</v>
      </c>
      <c r="F289" s="649">
        <f t="shared" si="20"/>
        <v>64.56</v>
      </c>
      <c r="H289" s="415"/>
    </row>
    <row r="290" spans="1:8" s="416" customFormat="1">
      <c r="A290" s="658" t="s">
        <v>2514</v>
      </c>
      <c r="B290" s="630" t="s">
        <v>289</v>
      </c>
      <c r="C290" s="631" t="s">
        <v>14</v>
      </c>
      <c r="D290" s="664">
        <f>M.CALCULO!D302</f>
        <v>17</v>
      </c>
      <c r="E290" s="633">
        <f>COMPOSIÇÕES!H2665</f>
        <v>13.57</v>
      </c>
      <c r="F290" s="649">
        <f t="shared" si="20"/>
        <v>230.69</v>
      </c>
      <c r="H290" s="415"/>
    </row>
    <row r="291" spans="1:8" s="416" customFormat="1">
      <c r="A291" s="658" t="s">
        <v>2515</v>
      </c>
      <c r="B291" s="630" t="s">
        <v>290</v>
      </c>
      <c r="C291" s="631" t="s">
        <v>14</v>
      </c>
      <c r="D291" s="664">
        <f>M.CALCULO!D303</f>
        <v>2</v>
      </c>
      <c r="E291" s="633">
        <f>COMPOSIÇÕES!H2677</f>
        <v>17.939999999999998</v>
      </c>
      <c r="F291" s="649">
        <f t="shared" si="20"/>
        <v>35.880000000000003</v>
      </c>
      <c r="H291" s="415"/>
    </row>
    <row r="292" spans="1:8" s="416" customFormat="1">
      <c r="A292" s="658" t="s">
        <v>2516</v>
      </c>
      <c r="B292" s="630" t="s">
        <v>291</v>
      </c>
      <c r="C292" s="631" t="s">
        <v>14</v>
      </c>
      <c r="D292" s="664">
        <f>M.CALCULO!D304</f>
        <v>4</v>
      </c>
      <c r="E292" s="633">
        <f>COMPOSIÇÕES!H2689</f>
        <v>39.590000000000003</v>
      </c>
      <c r="F292" s="649">
        <f t="shared" si="20"/>
        <v>158.36000000000001</v>
      </c>
      <c r="H292" s="415"/>
    </row>
    <row r="293" spans="1:8" s="416" customFormat="1" ht="24">
      <c r="A293" s="658" t="s">
        <v>2517</v>
      </c>
      <c r="B293" s="630" t="s">
        <v>1353</v>
      </c>
      <c r="C293" s="631" t="s">
        <v>14</v>
      </c>
      <c r="D293" s="664">
        <f>M.CALCULO!D305</f>
        <v>2</v>
      </c>
      <c r="E293" s="633">
        <f>COMPOSIÇÕES!H2701</f>
        <v>19.510000000000002</v>
      </c>
      <c r="F293" s="649">
        <f t="shared" si="20"/>
        <v>39.020000000000003</v>
      </c>
      <c r="H293" s="415"/>
    </row>
    <row r="294" spans="1:8" s="416" customFormat="1">
      <c r="A294" s="658" t="s">
        <v>2518</v>
      </c>
      <c r="B294" s="630" t="s">
        <v>1356</v>
      </c>
      <c r="C294" s="631" t="s">
        <v>14</v>
      </c>
      <c r="D294" s="664">
        <f>M.CALCULO!D306</f>
        <v>1</v>
      </c>
      <c r="E294" s="633">
        <f>COMPOSIÇÕES!H2713</f>
        <v>41.399999999999991</v>
      </c>
      <c r="F294" s="649">
        <f t="shared" si="20"/>
        <v>41.4</v>
      </c>
      <c r="H294" s="415"/>
    </row>
    <row r="295" spans="1:8" s="416" customFormat="1">
      <c r="A295" s="658" t="s">
        <v>2519</v>
      </c>
      <c r="B295" s="630" t="s">
        <v>1358</v>
      </c>
      <c r="C295" s="631" t="s">
        <v>14</v>
      </c>
      <c r="D295" s="664">
        <f>M.CALCULO!D307</f>
        <v>17</v>
      </c>
      <c r="E295" s="633">
        <f>COMPOSIÇÕES!H2724</f>
        <v>5.01</v>
      </c>
      <c r="F295" s="649">
        <f t="shared" si="20"/>
        <v>85.17</v>
      </c>
      <c r="H295" s="415"/>
    </row>
    <row r="296" spans="1:8" s="416" customFormat="1">
      <c r="A296" s="658" t="s">
        <v>2520</v>
      </c>
      <c r="B296" s="630" t="s">
        <v>1360</v>
      </c>
      <c r="C296" s="631" t="s">
        <v>14</v>
      </c>
      <c r="D296" s="664">
        <f>M.CALCULO!D308</f>
        <v>18</v>
      </c>
      <c r="E296" s="633">
        <f>COMPOSIÇÕES!H2735</f>
        <v>5</v>
      </c>
      <c r="F296" s="649">
        <f t="shared" si="20"/>
        <v>90</v>
      </c>
      <c r="H296" s="415"/>
    </row>
    <row r="297" spans="1:8" s="349" customFormat="1">
      <c r="A297" s="642"/>
      <c r="B297" s="643"/>
      <c r="C297" s="642"/>
      <c r="D297" s="644"/>
      <c r="E297" s="651"/>
      <c r="F297" s="652"/>
      <c r="H297" s="343"/>
    </row>
    <row r="298" spans="1:8">
      <c r="A298" s="698" t="s">
        <v>2521</v>
      </c>
      <c r="B298" s="699" t="s">
        <v>58</v>
      </c>
      <c r="C298" s="700"/>
      <c r="D298" s="701"/>
      <c r="E298" s="702"/>
      <c r="F298" s="703">
        <f>SUM(F299:F332)</f>
        <v>10080.36</v>
      </c>
    </row>
    <row r="299" spans="1:8" s="508" customFormat="1" ht="48">
      <c r="A299" s="650" t="s">
        <v>2522</v>
      </c>
      <c r="B299" s="630" t="s">
        <v>839</v>
      </c>
      <c r="C299" s="631" t="s">
        <v>14</v>
      </c>
      <c r="D299" s="632">
        <f>M.CALCULO!D312</f>
        <v>8</v>
      </c>
      <c r="E299" s="633">
        <f>COMPOSIÇÕES!H2752</f>
        <v>196.84</v>
      </c>
      <c r="F299" s="649">
        <f t="shared" ref="F299:F332" si="21">ROUND(D299*E299,2)</f>
        <v>1574.72</v>
      </c>
      <c r="H299" s="415"/>
    </row>
    <row r="300" spans="1:8" s="508" customFormat="1" ht="24">
      <c r="A300" s="650" t="s">
        <v>2523</v>
      </c>
      <c r="B300" s="630" t="s">
        <v>295</v>
      </c>
      <c r="C300" s="631" t="s">
        <v>14</v>
      </c>
      <c r="D300" s="632">
        <f>M.CALCULO!D313</f>
        <v>8</v>
      </c>
      <c r="E300" s="633">
        <f>COMPOSIÇÕES!H2763</f>
        <v>27.83</v>
      </c>
      <c r="F300" s="649">
        <f t="shared" si="21"/>
        <v>222.64</v>
      </c>
      <c r="H300" s="415"/>
    </row>
    <row r="301" spans="1:8" s="508" customFormat="1" ht="24">
      <c r="A301" s="650" t="s">
        <v>2524</v>
      </c>
      <c r="B301" s="630" t="s">
        <v>293</v>
      </c>
      <c r="C301" s="631" t="s">
        <v>14</v>
      </c>
      <c r="D301" s="632">
        <f>M.CALCULO!D314</f>
        <v>8</v>
      </c>
      <c r="E301" s="633">
        <f>COMPOSIÇÕES!H2773</f>
        <v>37.160000000000004</v>
      </c>
      <c r="F301" s="649">
        <f t="shared" si="21"/>
        <v>297.27999999999997</v>
      </c>
      <c r="H301" s="415"/>
    </row>
    <row r="302" spans="1:8" s="508" customFormat="1" ht="24">
      <c r="A302" s="650" t="s">
        <v>2525</v>
      </c>
      <c r="B302" s="630" t="s">
        <v>294</v>
      </c>
      <c r="C302" s="631" t="s">
        <v>14</v>
      </c>
      <c r="D302" s="632">
        <f>M.CALCULO!D315</f>
        <v>18</v>
      </c>
      <c r="E302" s="633">
        <f>COMPOSIÇÕES!H2783</f>
        <v>16.189999999999998</v>
      </c>
      <c r="F302" s="649">
        <f t="shared" si="21"/>
        <v>291.42</v>
      </c>
      <c r="H302" s="415"/>
    </row>
    <row r="303" spans="1:8" s="508" customFormat="1">
      <c r="A303" s="650" t="s">
        <v>2526</v>
      </c>
      <c r="B303" s="630" t="s">
        <v>63</v>
      </c>
      <c r="C303" s="631" t="s">
        <v>14</v>
      </c>
      <c r="D303" s="632">
        <f>M.CALCULO!D316</f>
        <v>52</v>
      </c>
      <c r="E303" s="633">
        <f>COMPOSIÇÕES!H2795</f>
        <v>4.82</v>
      </c>
      <c r="F303" s="649">
        <f t="shared" si="21"/>
        <v>250.64</v>
      </c>
      <c r="H303" s="415"/>
    </row>
    <row r="304" spans="1:8" s="508" customFormat="1">
      <c r="A304" s="650" t="s">
        <v>2527</v>
      </c>
      <c r="B304" s="630" t="s">
        <v>64</v>
      </c>
      <c r="C304" s="631" t="s">
        <v>14</v>
      </c>
      <c r="D304" s="632">
        <f>M.CALCULO!D317</f>
        <v>5</v>
      </c>
      <c r="E304" s="633">
        <f>COMPOSIÇÕES!H2807</f>
        <v>10.31</v>
      </c>
      <c r="F304" s="649">
        <f t="shared" si="21"/>
        <v>51.55</v>
      </c>
      <c r="H304" s="415"/>
    </row>
    <row r="305" spans="1:8" s="508" customFormat="1">
      <c r="A305" s="650" t="s">
        <v>2528</v>
      </c>
      <c r="B305" s="630" t="s">
        <v>296</v>
      </c>
      <c r="C305" s="631" t="s">
        <v>14</v>
      </c>
      <c r="D305" s="632">
        <f>M.CALCULO!D318</f>
        <v>3</v>
      </c>
      <c r="E305" s="633">
        <f>COMPOSIÇÕES!H2819</f>
        <v>8.67</v>
      </c>
      <c r="F305" s="649">
        <f t="shared" si="21"/>
        <v>26.01</v>
      </c>
      <c r="H305" s="415"/>
    </row>
    <row r="306" spans="1:8" s="508" customFormat="1">
      <c r="A306" s="650" t="s">
        <v>2529</v>
      </c>
      <c r="B306" s="630" t="s">
        <v>297</v>
      </c>
      <c r="C306" s="631" t="s">
        <v>14</v>
      </c>
      <c r="D306" s="632">
        <f>M.CALCULO!D319</f>
        <v>2</v>
      </c>
      <c r="E306" s="633">
        <f>COMPOSIÇÕES!H2831</f>
        <v>20.84</v>
      </c>
      <c r="F306" s="649">
        <f t="shared" si="21"/>
        <v>41.68</v>
      </c>
      <c r="H306" s="415"/>
    </row>
    <row r="307" spans="1:8" s="508" customFormat="1">
      <c r="A307" s="650" t="s">
        <v>2530</v>
      </c>
      <c r="B307" s="630" t="s">
        <v>65</v>
      </c>
      <c r="C307" s="631" t="s">
        <v>14</v>
      </c>
      <c r="D307" s="632">
        <f>M.CALCULO!D320</f>
        <v>44</v>
      </c>
      <c r="E307" s="633">
        <f>COMPOSIÇÕES!H2843</f>
        <v>6.51</v>
      </c>
      <c r="F307" s="649">
        <f t="shared" si="21"/>
        <v>286.44</v>
      </c>
      <c r="H307" s="415"/>
    </row>
    <row r="308" spans="1:8" s="508" customFormat="1">
      <c r="A308" s="650" t="s">
        <v>2531</v>
      </c>
      <c r="B308" s="630" t="s">
        <v>66</v>
      </c>
      <c r="C308" s="631" t="s">
        <v>14</v>
      </c>
      <c r="D308" s="632">
        <f>M.CALCULO!D321</f>
        <v>14</v>
      </c>
      <c r="E308" s="633">
        <f>COMPOSIÇÕES!H2855</f>
        <v>8.01</v>
      </c>
      <c r="F308" s="649">
        <f t="shared" si="21"/>
        <v>112.14</v>
      </c>
      <c r="H308" s="415"/>
    </row>
    <row r="309" spans="1:8" s="508" customFormat="1">
      <c r="A309" s="650" t="s">
        <v>2532</v>
      </c>
      <c r="B309" s="630" t="s">
        <v>67</v>
      </c>
      <c r="C309" s="631" t="s">
        <v>14</v>
      </c>
      <c r="D309" s="632">
        <f>M.CALCULO!D322</f>
        <v>21</v>
      </c>
      <c r="E309" s="633">
        <f>COMPOSIÇÕES!H2867</f>
        <v>12.629999999999999</v>
      </c>
      <c r="F309" s="649">
        <f t="shared" si="21"/>
        <v>265.23</v>
      </c>
      <c r="H309" s="415"/>
    </row>
    <row r="310" spans="1:8" s="508" customFormat="1">
      <c r="A310" s="650" t="s">
        <v>2533</v>
      </c>
      <c r="B310" s="630" t="s">
        <v>68</v>
      </c>
      <c r="C310" s="631" t="s">
        <v>14</v>
      </c>
      <c r="D310" s="632">
        <f>M.CALCULO!D323</f>
        <v>2</v>
      </c>
      <c r="E310" s="633">
        <f>COMPOSIÇÕES!H2879</f>
        <v>15.35</v>
      </c>
      <c r="F310" s="649">
        <f t="shared" si="21"/>
        <v>30.7</v>
      </c>
      <c r="H310" s="415"/>
    </row>
    <row r="311" spans="1:8" s="508" customFormat="1">
      <c r="A311" s="650" t="s">
        <v>2534</v>
      </c>
      <c r="B311" s="630" t="s">
        <v>69</v>
      </c>
      <c r="C311" s="631" t="s">
        <v>14</v>
      </c>
      <c r="D311" s="632">
        <f>M.CALCULO!D324</f>
        <v>11</v>
      </c>
      <c r="E311" s="633">
        <f>COMPOSIÇÕES!H2891</f>
        <v>7.5200000000000005</v>
      </c>
      <c r="F311" s="649">
        <f t="shared" si="21"/>
        <v>82.72</v>
      </c>
      <c r="H311" s="415"/>
    </row>
    <row r="312" spans="1:8" s="508" customFormat="1">
      <c r="A312" s="650" t="s">
        <v>2535</v>
      </c>
      <c r="B312" s="630" t="s">
        <v>70</v>
      </c>
      <c r="C312" s="631" t="s">
        <v>14</v>
      </c>
      <c r="D312" s="632">
        <f>M.CALCULO!D325</f>
        <v>17</v>
      </c>
      <c r="E312" s="633">
        <f>COMPOSIÇÕES!H2903</f>
        <v>15.740000000000002</v>
      </c>
      <c r="F312" s="649">
        <f t="shared" si="21"/>
        <v>267.58</v>
      </c>
      <c r="H312" s="415"/>
    </row>
    <row r="313" spans="1:8" s="508" customFormat="1">
      <c r="A313" s="650" t="s">
        <v>2536</v>
      </c>
      <c r="B313" s="630" t="s">
        <v>298</v>
      </c>
      <c r="C313" s="631" t="s">
        <v>14</v>
      </c>
      <c r="D313" s="632">
        <f>M.CALCULO!D326</f>
        <v>16</v>
      </c>
      <c r="E313" s="633">
        <f>COMPOSIÇÕES!H2915</f>
        <v>12.06</v>
      </c>
      <c r="F313" s="649">
        <f t="shared" si="21"/>
        <v>192.96</v>
      </c>
      <c r="H313" s="415"/>
    </row>
    <row r="314" spans="1:8" s="508" customFormat="1" ht="24">
      <c r="A314" s="650" t="s">
        <v>2537</v>
      </c>
      <c r="B314" s="630" t="s">
        <v>71</v>
      </c>
      <c r="C314" s="631" t="s">
        <v>14</v>
      </c>
      <c r="D314" s="632">
        <f>M.CALCULO!D327</f>
        <v>34</v>
      </c>
      <c r="E314" s="633">
        <f>COMPOSIÇÕES!H2928</f>
        <v>7.1899999999999995</v>
      </c>
      <c r="F314" s="649">
        <f t="shared" si="21"/>
        <v>244.46</v>
      </c>
      <c r="H314" s="415"/>
    </row>
    <row r="315" spans="1:8" s="416" customFormat="1">
      <c r="A315" s="650" t="s">
        <v>2538</v>
      </c>
      <c r="B315" s="630" t="s">
        <v>72</v>
      </c>
      <c r="C315" s="631" t="s">
        <v>14</v>
      </c>
      <c r="D315" s="632">
        <f>M.CALCULO!D328</f>
        <v>2</v>
      </c>
      <c r="E315" s="633">
        <f>COMPOSIÇÕES!H2940</f>
        <v>18.29</v>
      </c>
      <c r="F315" s="649">
        <f t="shared" si="21"/>
        <v>36.58</v>
      </c>
      <c r="H315" s="415"/>
    </row>
    <row r="316" spans="1:8" s="416" customFormat="1">
      <c r="A316" s="650" t="s">
        <v>2539</v>
      </c>
      <c r="B316" s="630" t="s">
        <v>73</v>
      </c>
      <c r="C316" s="631" t="s">
        <v>14</v>
      </c>
      <c r="D316" s="632">
        <f>M.CALCULO!D329</f>
        <v>14</v>
      </c>
      <c r="E316" s="633">
        <f>COMPOSIÇÕES!H2952</f>
        <v>23.549999999999997</v>
      </c>
      <c r="F316" s="649">
        <f t="shared" si="21"/>
        <v>329.7</v>
      </c>
      <c r="H316" s="415"/>
    </row>
    <row r="317" spans="1:8" s="416" customFormat="1">
      <c r="A317" s="650" t="s">
        <v>2540</v>
      </c>
      <c r="B317" s="630" t="s">
        <v>74</v>
      </c>
      <c r="C317" s="631" t="s">
        <v>14</v>
      </c>
      <c r="D317" s="632">
        <f>M.CALCULO!D330</f>
        <v>4</v>
      </c>
      <c r="E317" s="633">
        <f>COMPOSIÇÕES!H2964</f>
        <v>19.23</v>
      </c>
      <c r="F317" s="649">
        <f t="shared" si="21"/>
        <v>76.92</v>
      </c>
      <c r="H317" s="415"/>
    </row>
    <row r="318" spans="1:8" s="416" customFormat="1">
      <c r="A318" s="650" t="s">
        <v>2541</v>
      </c>
      <c r="B318" s="630" t="s">
        <v>75</v>
      </c>
      <c r="C318" s="631" t="s">
        <v>14</v>
      </c>
      <c r="D318" s="632">
        <f>M.CALCULO!D331</f>
        <v>5</v>
      </c>
      <c r="E318" s="633">
        <f>COMPOSIÇÕES!H2976</f>
        <v>22.71</v>
      </c>
      <c r="F318" s="649">
        <f t="shared" si="21"/>
        <v>113.55</v>
      </c>
      <c r="H318" s="415"/>
    </row>
    <row r="319" spans="1:8" s="416" customFormat="1">
      <c r="A319" s="650" t="s">
        <v>2542</v>
      </c>
      <c r="B319" s="630" t="s">
        <v>76</v>
      </c>
      <c r="C319" s="631" t="s">
        <v>14</v>
      </c>
      <c r="D319" s="632">
        <f>M.CALCULO!D332</f>
        <v>2</v>
      </c>
      <c r="E319" s="633">
        <f>COMPOSIÇÕES!H2988</f>
        <v>29.95</v>
      </c>
      <c r="F319" s="649">
        <f t="shared" si="21"/>
        <v>59.9</v>
      </c>
      <c r="H319" s="415"/>
    </row>
    <row r="320" spans="1:8" s="416" customFormat="1">
      <c r="A320" s="650" t="s">
        <v>2543</v>
      </c>
      <c r="B320" s="630" t="s">
        <v>77</v>
      </c>
      <c r="C320" s="631" t="s">
        <v>14</v>
      </c>
      <c r="D320" s="632">
        <f>M.CALCULO!D333</f>
        <v>18</v>
      </c>
      <c r="E320" s="633">
        <f>COMPOSIÇÕES!H3000</f>
        <v>5.47</v>
      </c>
      <c r="F320" s="649">
        <f t="shared" si="21"/>
        <v>98.46</v>
      </c>
      <c r="H320" s="415"/>
    </row>
    <row r="321" spans="1:8" s="416" customFormat="1">
      <c r="A321" s="650" t="s">
        <v>2544</v>
      </c>
      <c r="B321" s="630" t="s">
        <v>78</v>
      </c>
      <c r="C321" s="631" t="s">
        <v>14</v>
      </c>
      <c r="D321" s="632">
        <f>M.CALCULO!D334</f>
        <v>40</v>
      </c>
      <c r="E321" s="633">
        <f>COMPOSIÇÕES!H3012</f>
        <v>8.0599999999999987</v>
      </c>
      <c r="F321" s="649">
        <f t="shared" si="21"/>
        <v>322.39999999999998</v>
      </c>
      <c r="H321" s="415"/>
    </row>
    <row r="322" spans="1:8" s="416" customFormat="1">
      <c r="A322" s="650" t="s">
        <v>2545</v>
      </c>
      <c r="B322" s="630" t="s">
        <v>79</v>
      </c>
      <c r="C322" s="631" t="s">
        <v>14</v>
      </c>
      <c r="D322" s="632">
        <f>M.CALCULO!D335</f>
        <v>40</v>
      </c>
      <c r="E322" s="633">
        <f>COMPOSIÇÕES!H3024</f>
        <v>10.579999999999998</v>
      </c>
      <c r="F322" s="649">
        <f t="shared" si="21"/>
        <v>423.2</v>
      </c>
      <c r="H322" s="415"/>
    </row>
    <row r="323" spans="1:8" s="416" customFormat="1">
      <c r="A323" s="650" t="s">
        <v>2546</v>
      </c>
      <c r="B323" s="630" t="s">
        <v>80</v>
      </c>
      <c r="C323" s="631" t="s">
        <v>14</v>
      </c>
      <c r="D323" s="632">
        <f>M.CALCULO!D336</f>
        <v>7</v>
      </c>
      <c r="E323" s="633">
        <f>COMPOSIÇÕES!H3034</f>
        <v>10.559999999999999</v>
      </c>
      <c r="F323" s="649">
        <f t="shared" si="21"/>
        <v>73.92</v>
      </c>
      <c r="H323" s="415"/>
    </row>
    <row r="324" spans="1:8" s="416" customFormat="1">
      <c r="A324" s="650" t="s">
        <v>2547</v>
      </c>
      <c r="B324" s="630" t="s">
        <v>81</v>
      </c>
      <c r="C324" s="631" t="s">
        <v>14</v>
      </c>
      <c r="D324" s="632">
        <f>M.CALCULO!D337</f>
        <v>2</v>
      </c>
      <c r="E324" s="633">
        <f>COMPOSIÇÕES!H3044</f>
        <v>8.11</v>
      </c>
      <c r="F324" s="649">
        <f t="shared" si="21"/>
        <v>16.22</v>
      </c>
      <c r="H324" s="415"/>
    </row>
    <row r="325" spans="1:8" s="416" customFormat="1">
      <c r="A325" s="650" t="s">
        <v>2548</v>
      </c>
      <c r="B325" s="630" t="s">
        <v>82</v>
      </c>
      <c r="C325" s="631" t="s">
        <v>14</v>
      </c>
      <c r="D325" s="632">
        <f>M.CALCULO!D338</f>
        <v>3</v>
      </c>
      <c r="E325" s="633">
        <f>COMPOSIÇÕES!H3054</f>
        <v>19.079999999999998</v>
      </c>
      <c r="F325" s="649">
        <f t="shared" si="21"/>
        <v>57.24</v>
      </c>
      <c r="H325" s="415"/>
    </row>
    <row r="326" spans="1:8" s="416" customFormat="1">
      <c r="A326" s="650" t="s">
        <v>2549</v>
      </c>
      <c r="B326" s="630" t="s">
        <v>83</v>
      </c>
      <c r="C326" s="631" t="s">
        <v>14</v>
      </c>
      <c r="D326" s="632">
        <f>M.CALCULO!D339</f>
        <v>5</v>
      </c>
      <c r="E326" s="633">
        <f>COMPOSIÇÕES!H3066</f>
        <v>12.020000000000001</v>
      </c>
      <c r="F326" s="649">
        <f t="shared" si="21"/>
        <v>60.1</v>
      </c>
      <c r="H326" s="415"/>
    </row>
    <row r="327" spans="1:8" s="416" customFormat="1">
      <c r="A327" s="650" t="s">
        <v>2550</v>
      </c>
      <c r="B327" s="630" t="s">
        <v>84</v>
      </c>
      <c r="C327" s="631" t="s">
        <v>14</v>
      </c>
      <c r="D327" s="632">
        <f>M.CALCULO!D340</f>
        <v>14</v>
      </c>
      <c r="E327" s="633">
        <f>COMPOSIÇÕES!H3078</f>
        <v>22.010000000000005</v>
      </c>
      <c r="F327" s="649">
        <f t="shared" si="21"/>
        <v>308.14</v>
      </c>
      <c r="H327" s="415"/>
    </row>
    <row r="328" spans="1:8" s="416" customFormat="1">
      <c r="A328" s="650" t="s">
        <v>2551</v>
      </c>
      <c r="B328" s="630" t="s">
        <v>85</v>
      </c>
      <c r="C328" s="631" t="s">
        <v>14</v>
      </c>
      <c r="D328" s="632">
        <f>M.CALCULO!D341</f>
        <v>3</v>
      </c>
      <c r="E328" s="633">
        <f>COMPOSIÇÕES!H3091</f>
        <v>20.62</v>
      </c>
      <c r="F328" s="649">
        <f t="shared" si="21"/>
        <v>61.86</v>
      </c>
      <c r="H328" s="415"/>
    </row>
    <row r="329" spans="1:8" s="416" customFormat="1">
      <c r="A329" s="650" t="s">
        <v>2552</v>
      </c>
      <c r="B329" s="630" t="s">
        <v>59</v>
      </c>
      <c r="C329" s="631" t="s">
        <v>15</v>
      </c>
      <c r="D329" s="632">
        <f>M.CALCULO!D342</f>
        <v>70.11</v>
      </c>
      <c r="E329" s="633">
        <f>COMPOSIÇÕES!H3103</f>
        <v>16.52</v>
      </c>
      <c r="F329" s="649">
        <f t="shared" si="21"/>
        <v>1158.22</v>
      </c>
      <c r="H329" s="415"/>
    </row>
    <row r="330" spans="1:8" s="416" customFormat="1">
      <c r="A330" s="650" t="s">
        <v>2553</v>
      </c>
      <c r="B330" s="630" t="s">
        <v>60</v>
      </c>
      <c r="C330" s="631" t="s">
        <v>15</v>
      </c>
      <c r="D330" s="632">
        <f>M.CALCULO!D343</f>
        <v>27.94</v>
      </c>
      <c r="E330" s="633">
        <f>COMPOSIÇÕES!H3115</f>
        <v>22.509999999999998</v>
      </c>
      <c r="F330" s="649">
        <f t="shared" si="21"/>
        <v>628.92999999999995</v>
      </c>
      <c r="H330" s="415"/>
    </row>
    <row r="331" spans="1:8" s="416" customFormat="1">
      <c r="A331" s="650" t="s">
        <v>2554</v>
      </c>
      <c r="B331" s="630" t="s">
        <v>61</v>
      </c>
      <c r="C331" s="631" t="s">
        <v>15</v>
      </c>
      <c r="D331" s="632">
        <f>M.CALCULO!D344</f>
        <v>41.12</v>
      </c>
      <c r="E331" s="633">
        <f>COMPOSIÇÕES!H3127</f>
        <v>29.720000000000002</v>
      </c>
      <c r="F331" s="649">
        <f t="shared" si="21"/>
        <v>1222.0899999999999</v>
      </c>
      <c r="H331" s="415"/>
    </row>
    <row r="332" spans="1:8" s="416" customFormat="1">
      <c r="A332" s="650" t="s">
        <v>2555</v>
      </c>
      <c r="B332" s="630" t="s">
        <v>62</v>
      </c>
      <c r="C332" s="631" t="s">
        <v>15</v>
      </c>
      <c r="D332" s="632">
        <f>M.CALCULO!D345</f>
        <v>49.15</v>
      </c>
      <c r="E332" s="633">
        <f>COMPOSIÇÕES!H3137</f>
        <v>16.170000000000002</v>
      </c>
      <c r="F332" s="649">
        <f t="shared" si="21"/>
        <v>794.76</v>
      </c>
      <c r="H332" s="415"/>
    </row>
    <row r="333" spans="1:8" s="349" customFormat="1">
      <c r="A333" s="642"/>
      <c r="B333" s="643"/>
      <c r="C333" s="642"/>
      <c r="D333" s="644"/>
      <c r="E333" s="648"/>
      <c r="F333" s="652"/>
      <c r="H333" s="343"/>
    </row>
    <row r="334" spans="1:8">
      <c r="A334" s="698" t="s">
        <v>2556</v>
      </c>
      <c r="B334" s="699" t="s">
        <v>27</v>
      </c>
      <c r="C334" s="700"/>
      <c r="D334" s="701"/>
      <c r="E334" s="704"/>
      <c r="F334" s="703">
        <f>SUM(F335:F359)</f>
        <v>57512.659999999996</v>
      </c>
    </row>
    <row r="335" spans="1:8" s="416" customFormat="1">
      <c r="A335" s="650" t="s">
        <v>2557</v>
      </c>
      <c r="B335" s="630" t="s">
        <v>1396</v>
      </c>
      <c r="C335" s="631" t="s">
        <v>14</v>
      </c>
      <c r="D335" s="632">
        <f>M.CALCULO!D349</f>
        <v>15</v>
      </c>
      <c r="E335" s="633">
        <f>COMPOSIÇÕES!H3152</f>
        <v>304.74</v>
      </c>
      <c r="F335" s="649">
        <f t="shared" ref="F335:F359" si="22">ROUND(D335*E335,2)</f>
        <v>4571.1000000000004</v>
      </c>
      <c r="H335" s="415"/>
    </row>
    <row r="336" spans="1:8" s="512" customFormat="1" ht="12">
      <c r="A336" s="650" t="s">
        <v>2558</v>
      </c>
      <c r="B336" s="630" t="s">
        <v>2022</v>
      </c>
      <c r="C336" s="631" t="s">
        <v>14</v>
      </c>
      <c r="D336" s="632">
        <f>M.CALCULO!D350</f>
        <v>2</v>
      </c>
      <c r="E336" s="633">
        <f>COMPOSIÇÕES!H3164</f>
        <v>920.27</v>
      </c>
      <c r="F336" s="649">
        <f t="shared" si="22"/>
        <v>1840.54</v>
      </c>
    </row>
    <row r="337" spans="1:8" s="416" customFormat="1" ht="24">
      <c r="A337" s="650" t="s">
        <v>2559</v>
      </c>
      <c r="B337" s="630" t="s">
        <v>1348</v>
      </c>
      <c r="C337" s="631" t="s">
        <v>14</v>
      </c>
      <c r="D337" s="632">
        <f>M.CALCULO!D351</f>
        <v>17</v>
      </c>
      <c r="E337" s="633">
        <f>COMPOSIÇÕES!H3173</f>
        <v>19.393791999999998</v>
      </c>
      <c r="F337" s="649">
        <f t="shared" si="22"/>
        <v>329.69</v>
      </c>
      <c r="H337" s="415"/>
    </row>
    <row r="338" spans="1:8" s="416" customFormat="1">
      <c r="A338" s="650" t="s">
        <v>2560</v>
      </c>
      <c r="B338" s="630" t="s">
        <v>1361</v>
      </c>
      <c r="C338" s="631" t="s">
        <v>14</v>
      </c>
      <c r="D338" s="632">
        <f>M.CALCULO!D352</f>
        <v>34</v>
      </c>
      <c r="E338" s="633">
        <f>COMPOSIÇÕES!H3184</f>
        <v>7.4700000000000006</v>
      </c>
      <c r="F338" s="649">
        <f t="shared" si="22"/>
        <v>253.98</v>
      </c>
      <c r="H338" s="415"/>
    </row>
    <row r="339" spans="1:8" s="416" customFormat="1">
      <c r="A339" s="650" t="s">
        <v>2561</v>
      </c>
      <c r="B339" s="630" t="s">
        <v>28</v>
      </c>
      <c r="C339" s="631" t="s">
        <v>14</v>
      </c>
      <c r="D339" s="632">
        <f>M.CALCULO!D353</f>
        <v>17</v>
      </c>
      <c r="E339" s="633">
        <f>COMPOSIÇÕES!H3194</f>
        <v>27.88</v>
      </c>
      <c r="F339" s="649">
        <f t="shared" si="22"/>
        <v>473.96</v>
      </c>
      <c r="H339" s="415"/>
    </row>
    <row r="340" spans="1:8" s="512" customFormat="1" ht="12">
      <c r="A340" s="650" t="s">
        <v>2562</v>
      </c>
      <c r="B340" s="630" t="s">
        <v>2023</v>
      </c>
      <c r="C340" s="631" t="s">
        <v>14</v>
      </c>
      <c r="D340" s="632">
        <f>M.CALCULO!D354</f>
        <v>2</v>
      </c>
      <c r="E340" s="633">
        <f>COMPOSIÇÕES!H3205</f>
        <v>468.14</v>
      </c>
      <c r="F340" s="649">
        <f t="shared" si="22"/>
        <v>936.28</v>
      </c>
    </row>
    <row r="341" spans="1:8" s="416" customFormat="1">
      <c r="A341" s="650" t="s">
        <v>2563</v>
      </c>
      <c r="B341" s="630" t="s">
        <v>113</v>
      </c>
      <c r="C341" s="631" t="s">
        <v>14</v>
      </c>
      <c r="D341" s="632">
        <f>M.CALCULO!D355</f>
        <v>19</v>
      </c>
      <c r="E341" s="633">
        <f>COMPOSIÇÕES!H3216</f>
        <v>100.08</v>
      </c>
      <c r="F341" s="649">
        <f t="shared" si="22"/>
        <v>1901.52</v>
      </c>
      <c r="H341" s="415"/>
    </row>
    <row r="342" spans="1:8" s="416" customFormat="1">
      <c r="A342" s="650" t="s">
        <v>2564</v>
      </c>
      <c r="B342" s="630" t="s">
        <v>1397</v>
      </c>
      <c r="C342" s="631" t="s">
        <v>14</v>
      </c>
      <c r="D342" s="632">
        <f>M.CALCULO!D356</f>
        <v>21</v>
      </c>
      <c r="E342" s="633">
        <f>COMPOSIÇÕES!H3227</f>
        <v>13.55</v>
      </c>
      <c r="F342" s="649">
        <f t="shared" si="22"/>
        <v>284.55</v>
      </c>
      <c r="H342" s="415"/>
    </row>
    <row r="343" spans="1:8" s="416" customFormat="1">
      <c r="A343" s="650" t="s">
        <v>2565</v>
      </c>
      <c r="B343" s="630" t="s">
        <v>1398</v>
      </c>
      <c r="C343" s="631" t="s">
        <v>14</v>
      </c>
      <c r="D343" s="632">
        <f>M.CALCULO!D357</f>
        <v>21</v>
      </c>
      <c r="E343" s="633">
        <f>COMPOSIÇÕES!H3238</f>
        <v>103.57000000000001</v>
      </c>
      <c r="F343" s="649">
        <f t="shared" si="22"/>
        <v>2174.9699999999998</v>
      </c>
      <c r="H343" s="415"/>
    </row>
    <row r="344" spans="1:8" s="416" customFormat="1" ht="24">
      <c r="A344" s="650" t="s">
        <v>2566</v>
      </c>
      <c r="B344" s="630" t="s">
        <v>717</v>
      </c>
      <c r="C344" s="631" t="s">
        <v>14</v>
      </c>
      <c r="D344" s="632">
        <f>M.CALCULO!D358</f>
        <v>19</v>
      </c>
      <c r="E344" s="633">
        <f>COMPOSIÇÕES!H3249</f>
        <v>255.13</v>
      </c>
      <c r="F344" s="649">
        <f t="shared" si="22"/>
        <v>4847.47</v>
      </c>
      <c r="H344" s="415"/>
    </row>
    <row r="345" spans="1:8" s="512" customFormat="1" ht="12">
      <c r="A345" s="650" t="s">
        <v>2567</v>
      </c>
      <c r="B345" s="630" t="s">
        <v>2024</v>
      </c>
      <c r="C345" s="631" t="s">
        <v>14</v>
      </c>
      <c r="D345" s="632">
        <f>M.CALCULO!D359</f>
        <v>2</v>
      </c>
      <c r="E345" s="633">
        <v>254.43</v>
      </c>
      <c r="F345" s="649">
        <f t="shared" si="22"/>
        <v>508.86</v>
      </c>
    </row>
    <row r="346" spans="1:8" s="416" customFormat="1" ht="24">
      <c r="A346" s="650" t="s">
        <v>2568</v>
      </c>
      <c r="B346" s="630" t="s">
        <v>1399</v>
      </c>
      <c r="C346" s="631" t="s">
        <v>14</v>
      </c>
      <c r="D346" s="632">
        <f>M.CALCULO!D360</f>
        <v>21</v>
      </c>
      <c r="E346" s="633">
        <f>COMPOSIÇÕES!H3271</f>
        <v>10.71</v>
      </c>
      <c r="F346" s="649">
        <f t="shared" si="22"/>
        <v>224.91</v>
      </c>
      <c r="H346" s="415"/>
    </row>
    <row r="347" spans="1:8" s="416" customFormat="1">
      <c r="A347" s="650" t="s">
        <v>2569</v>
      </c>
      <c r="B347" s="630" t="s">
        <v>721</v>
      </c>
      <c r="C347" s="631" t="s">
        <v>14</v>
      </c>
      <c r="D347" s="632">
        <f>M.CALCULO!D361</f>
        <v>18</v>
      </c>
      <c r="E347" s="633">
        <f>COMPOSIÇÕES!H3281</f>
        <v>43.36</v>
      </c>
      <c r="F347" s="649">
        <f t="shared" si="22"/>
        <v>780.48</v>
      </c>
      <c r="H347" s="415"/>
    </row>
    <row r="348" spans="1:8" s="416" customFormat="1">
      <c r="A348" s="650" t="s">
        <v>2570</v>
      </c>
      <c r="B348" s="630" t="s">
        <v>300</v>
      </c>
      <c r="C348" s="631" t="s">
        <v>14</v>
      </c>
      <c r="D348" s="632">
        <f>M.CALCULO!D362</f>
        <v>10</v>
      </c>
      <c r="E348" s="633">
        <f>COMPOSIÇÕES!H3290</f>
        <v>22.009999999999998</v>
      </c>
      <c r="F348" s="649">
        <f t="shared" si="22"/>
        <v>220.1</v>
      </c>
      <c r="H348" s="415"/>
    </row>
    <row r="349" spans="1:8" s="416" customFormat="1">
      <c r="A349" s="650" t="s">
        <v>2571</v>
      </c>
      <c r="B349" s="630" t="s">
        <v>299</v>
      </c>
      <c r="C349" s="631" t="s">
        <v>14</v>
      </c>
      <c r="D349" s="632">
        <f>M.CALCULO!D363</f>
        <v>18</v>
      </c>
      <c r="E349" s="633">
        <f>COMPOSIÇÕES!H3303</f>
        <v>27.119999999999997</v>
      </c>
      <c r="F349" s="649">
        <f t="shared" si="22"/>
        <v>488.16</v>
      </c>
      <c r="H349" s="415"/>
    </row>
    <row r="350" spans="1:8" s="512" customFormat="1" ht="12">
      <c r="A350" s="650" t="s">
        <v>2572</v>
      </c>
      <c r="B350" s="630" t="s">
        <v>2025</v>
      </c>
      <c r="C350" s="631" t="s">
        <v>14</v>
      </c>
      <c r="D350" s="632">
        <f>M.CALCULO!D364</f>
        <v>6</v>
      </c>
      <c r="E350" s="633">
        <v>156.61000000000001</v>
      </c>
      <c r="F350" s="649">
        <f t="shared" si="22"/>
        <v>939.66</v>
      </c>
    </row>
    <row r="351" spans="1:8" s="416" customFormat="1">
      <c r="A351" s="650" t="s">
        <v>2573</v>
      </c>
      <c r="B351" s="630" t="s">
        <v>1444</v>
      </c>
      <c r="C351" s="631" t="s">
        <v>14</v>
      </c>
      <c r="D351" s="632">
        <f>M.CALCULO!D365</f>
        <v>7</v>
      </c>
      <c r="E351" s="633">
        <f>COMPOSIÇÕES!H3330</f>
        <v>2036.15</v>
      </c>
      <c r="F351" s="649">
        <f t="shared" si="22"/>
        <v>14253.05</v>
      </c>
      <c r="H351" s="415"/>
    </row>
    <row r="352" spans="1:8" s="416" customFormat="1">
      <c r="A352" s="650" t="s">
        <v>2574</v>
      </c>
      <c r="B352" s="630" t="s">
        <v>1472</v>
      </c>
      <c r="C352" s="631" t="s">
        <v>14</v>
      </c>
      <c r="D352" s="632">
        <f>M.CALCULO!D366</f>
        <v>7</v>
      </c>
      <c r="E352" s="633">
        <f>COMPOSIÇÕES!H3341</f>
        <v>2036.15</v>
      </c>
      <c r="F352" s="649">
        <f t="shared" si="22"/>
        <v>14253.05</v>
      </c>
      <c r="H352" s="415"/>
    </row>
    <row r="353" spans="1:8" s="416" customFormat="1" ht="36">
      <c r="A353" s="650" t="s">
        <v>2575</v>
      </c>
      <c r="B353" s="630" t="s">
        <v>1400</v>
      </c>
      <c r="C353" s="631" t="s">
        <v>14</v>
      </c>
      <c r="D353" s="632">
        <f>M.CALCULO!D367</f>
        <v>5</v>
      </c>
      <c r="E353" s="633">
        <f>COMPOSIÇÕES!H3354</f>
        <v>267.29000000000002</v>
      </c>
      <c r="F353" s="649">
        <f t="shared" si="22"/>
        <v>1336.45</v>
      </c>
      <c r="H353" s="415"/>
    </row>
    <row r="354" spans="1:8" s="416" customFormat="1">
      <c r="A354" s="650" t="s">
        <v>2576</v>
      </c>
      <c r="B354" s="630" t="s">
        <v>270</v>
      </c>
      <c r="C354" s="631" t="s">
        <v>14</v>
      </c>
      <c r="D354" s="632">
        <f>M.CALCULO!D368</f>
        <v>5</v>
      </c>
      <c r="E354" s="633">
        <f>COMPOSIÇÕES!H3365</f>
        <v>145.07999999999998</v>
      </c>
      <c r="F354" s="649">
        <f t="shared" si="22"/>
        <v>725.4</v>
      </c>
      <c r="H354" s="415"/>
    </row>
    <row r="355" spans="1:8" s="416" customFormat="1" ht="24">
      <c r="A355" s="650" t="s">
        <v>2577</v>
      </c>
      <c r="B355" s="630" t="s">
        <v>269</v>
      </c>
      <c r="C355" s="631" t="s">
        <v>14</v>
      </c>
      <c r="D355" s="632">
        <f>M.CALCULO!D369</f>
        <v>18</v>
      </c>
      <c r="E355" s="633">
        <f>COMPOSIÇÕES!H3377</f>
        <v>75.889999999999986</v>
      </c>
      <c r="F355" s="649">
        <f t="shared" si="22"/>
        <v>1366.02</v>
      </c>
      <c r="H355" s="415"/>
    </row>
    <row r="356" spans="1:8" s="416" customFormat="1">
      <c r="A356" s="650" t="s">
        <v>2578</v>
      </c>
      <c r="B356" s="630" t="s">
        <v>268</v>
      </c>
      <c r="C356" s="631" t="s">
        <v>14</v>
      </c>
      <c r="D356" s="632">
        <f>M.CALCULO!D370</f>
        <v>4</v>
      </c>
      <c r="E356" s="633">
        <f>COMPOSIÇÕES!H3388</f>
        <v>142.68</v>
      </c>
      <c r="F356" s="649">
        <f t="shared" si="22"/>
        <v>570.72</v>
      </c>
      <c r="H356" s="415"/>
    </row>
    <row r="357" spans="1:8" s="416" customFormat="1" ht="28.5" customHeight="1">
      <c r="A357" s="650" t="s">
        <v>2579</v>
      </c>
      <c r="B357" s="630" t="s">
        <v>46</v>
      </c>
      <c r="C357" s="631" t="s">
        <v>14</v>
      </c>
      <c r="D357" s="632">
        <f>M.CALCULO!D371</f>
        <v>2</v>
      </c>
      <c r="E357" s="633">
        <f>COMPOSIÇÕES!H3399</f>
        <v>88.52000000000001</v>
      </c>
      <c r="F357" s="649">
        <f t="shared" si="22"/>
        <v>177.04</v>
      </c>
      <c r="H357" s="415"/>
    </row>
    <row r="358" spans="1:8" s="416" customFormat="1" ht="24.75" customHeight="1">
      <c r="A358" s="650" t="s">
        <v>2580</v>
      </c>
      <c r="B358" s="630" t="s">
        <v>47</v>
      </c>
      <c r="C358" s="631" t="s">
        <v>14</v>
      </c>
      <c r="D358" s="632">
        <f>M.CALCULO!D372</f>
        <v>4</v>
      </c>
      <c r="E358" s="633">
        <f>COMPOSIÇÕES!H3410</f>
        <v>272.48</v>
      </c>
      <c r="F358" s="649">
        <f t="shared" si="22"/>
        <v>1089.92</v>
      </c>
      <c r="H358" s="415"/>
    </row>
    <row r="359" spans="1:8" s="508" customFormat="1" ht="24">
      <c r="A359" s="650" t="s">
        <v>2581</v>
      </c>
      <c r="B359" s="630" t="s">
        <v>2038</v>
      </c>
      <c r="C359" s="631" t="s">
        <v>14</v>
      </c>
      <c r="D359" s="632">
        <f>M.CALCULO!D373</f>
        <v>18</v>
      </c>
      <c r="E359" s="633">
        <f>COMPOSIÇÕES!H3421</f>
        <v>164.71</v>
      </c>
      <c r="F359" s="649">
        <f t="shared" si="22"/>
        <v>2964.78</v>
      </c>
      <c r="H359" s="415"/>
    </row>
    <row r="360" spans="1:8" s="349" customFormat="1">
      <c r="A360" s="642"/>
      <c r="B360" s="620"/>
      <c r="C360" s="642"/>
      <c r="D360" s="644"/>
      <c r="E360" s="651"/>
      <c r="F360" s="652"/>
      <c r="H360" s="343"/>
    </row>
    <row r="361" spans="1:8">
      <c r="A361" s="693">
        <v>20</v>
      </c>
      <c r="B361" s="682" t="s">
        <v>1985</v>
      </c>
      <c r="C361" s="694"/>
      <c r="D361" s="687"/>
      <c r="E361" s="684"/>
      <c r="F361" s="688">
        <f>SUM(F362:F379)</f>
        <v>25501.78000000001</v>
      </c>
    </row>
    <row r="362" spans="1:8" s="416" customFormat="1">
      <c r="A362" s="650" t="s">
        <v>2582</v>
      </c>
      <c r="B362" s="630" t="s">
        <v>86</v>
      </c>
      <c r="C362" s="631" t="s">
        <v>15</v>
      </c>
      <c r="D362" s="632">
        <f>M.CALCULO!D377</f>
        <v>121.22</v>
      </c>
      <c r="E362" s="633">
        <f>COMPOSIÇÕES!H3432</f>
        <v>100.12</v>
      </c>
      <c r="F362" s="649">
        <f t="shared" ref="F362:F378" si="23">ROUND(D362*E362,2)</f>
        <v>12136.55</v>
      </c>
      <c r="H362" s="415"/>
    </row>
    <row r="363" spans="1:8" s="416" customFormat="1">
      <c r="A363" s="650" t="s">
        <v>2583</v>
      </c>
      <c r="B363" s="630" t="s">
        <v>87</v>
      </c>
      <c r="C363" s="631" t="s">
        <v>14</v>
      </c>
      <c r="D363" s="632">
        <f>M.CALCULO!D378</f>
        <v>3</v>
      </c>
      <c r="E363" s="633">
        <f>COMPOSIÇÕES!H3442</f>
        <v>81.97</v>
      </c>
      <c r="F363" s="649">
        <f t="shared" si="23"/>
        <v>245.91</v>
      </c>
      <c r="H363" s="415"/>
    </row>
    <row r="364" spans="1:8" s="416" customFormat="1">
      <c r="A364" s="650" t="s">
        <v>2584</v>
      </c>
      <c r="B364" s="630" t="s">
        <v>90</v>
      </c>
      <c r="C364" s="631" t="s">
        <v>15</v>
      </c>
      <c r="D364" s="632">
        <f>M.CALCULO!D379</f>
        <v>10</v>
      </c>
      <c r="E364" s="633">
        <f>COMPOSIÇÕES!H3452</f>
        <v>68.640000000000015</v>
      </c>
      <c r="F364" s="649">
        <f t="shared" si="23"/>
        <v>686.4</v>
      </c>
      <c r="H364" s="415"/>
    </row>
    <row r="365" spans="1:8" s="416" customFormat="1">
      <c r="A365" s="650" t="s">
        <v>2585</v>
      </c>
      <c r="B365" s="630" t="s">
        <v>398</v>
      </c>
      <c r="C365" s="631" t="s">
        <v>88</v>
      </c>
      <c r="D365" s="632">
        <f>M.CALCULO!D380</f>
        <v>17</v>
      </c>
      <c r="E365" s="633">
        <f>COMPOSIÇÕES!H3462</f>
        <v>44.92</v>
      </c>
      <c r="F365" s="649">
        <f t="shared" si="23"/>
        <v>763.64</v>
      </c>
      <c r="H365" s="415"/>
    </row>
    <row r="366" spans="1:8" s="416" customFormat="1">
      <c r="A366" s="650" t="s">
        <v>2586</v>
      </c>
      <c r="B366" s="630" t="s">
        <v>1986</v>
      </c>
      <c r="C366" s="631" t="s">
        <v>14</v>
      </c>
      <c r="D366" s="632">
        <f>M.CALCULO!D381</f>
        <v>1</v>
      </c>
      <c r="E366" s="633">
        <f>COMPOSIÇÕES!H3471</f>
        <v>1089.71</v>
      </c>
      <c r="F366" s="649">
        <f t="shared" si="23"/>
        <v>1089.71</v>
      </c>
      <c r="H366" s="415"/>
    </row>
    <row r="367" spans="1:8" s="416" customFormat="1" ht="48">
      <c r="A367" s="650" t="s">
        <v>2587</v>
      </c>
      <c r="B367" s="630" t="s">
        <v>919</v>
      </c>
      <c r="C367" s="631" t="s">
        <v>88</v>
      </c>
      <c r="D367" s="632">
        <f>M.CALCULO!D382</f>
        <v>3</v>
      </c>
      <c r="E367" s="633">
        <f>COMPOSIÇÕES!H3487</f>
        <v>622.68000000000006</v>
      </c>
      <c r="F367" s="649">
        <f t="shared" si="23"/>
        <v>1868.04</v>
      </c>
      <c r="H367" s="415"/>
    </row>
    <row r="368" spans="1:8" s="416" customFormat="1">
      <c r="A368" s="650" t="s">
        <v>2588</v>
      </c>
      <c r="B368" s="630" t="s">
        <v>89</v>
      </c>
      <c r="C368" s="631" t="s">
        <v>88</v>
      </c>
      <c r="D368" s="632">
        <f>M.CALCULO!D383</f>
        <v>3</v>
      </c>
      <c r="E368" s="633">
        <f>COMPOSIÇÕES!H3497</f>
        <v>37.549999999999997</v>
      </c>
      <c r="F368" s="649">
        <f t="shared" si="23"/>
        <v>112.65</v>
      </c>
      <c r="H368" s="415"/>
    </row>
    <row r="369" spans="1:8" s="416" customFormat="1">
      <c r="A369" s="650" t="s">
        <v>2589</v>
      </c>
      <c r="B369" s="630" t="s">
        <v>400</v>
      </c>
      <c r="C369" s="631" t="s">
        <v>88</v>
      </c>
      <c r="D369" s="632">
        <f>M.CALCULO!D384</f>
        <v>6</v>
      </c>
      <c r="E369" s="633">
        <f>COMPOSIÇÕES!H3507</f>
        <v>54.89</v>
      </c>
      <c r="F369" s="649">
        <f t="shared" si="23"/>
        <v>329.34</v>
      </c>
      <c r="H369" s="415"/>
    </row>
    <row r="370" spans="1:8" s="416" customFormat="1">
      <c r="A370" s="650" t="s">
        <v>2590</v>
      </c>
      <c r="B370" s="630" t="s">
        <v>401</v>
      </c>
      <c r="C370" s="631" t="s">
        <v>88</v>
      </c>
      <c r="D370" s="632">
        <f>M.CALCULO!D385</f>
        <v>12</v>
      </c>
      <c r="E370" s="633">
        <f>COMPOSIÇÕES!H3517</f>
        <v>86.46</v>
      </c>
      <c r="F370" s="649">
        <f t="shared" si="23"/>
        <v>1037.52</v>
      </c>
      <c r="H370" s="415"/>
    </row>
    <row r="371" spans="1:8" s="416" customFormat="1">
      <c r="A371" s="650" t="s">
        <v>2591</v>
      </c>
      <c r="B371" s="630" t="s">
        <v>402</v>
      </c>
      <c r="C371" s="631" t="s">
        <v>88</v>
      </c>
      <c r="D371" s="632">
        <f>M.CALCULO!D386</f>
        <v>3</v>
      </c>
      <c r="E371" s="633">
        <f>COMPOSIÇÕES!H3527</f>
        <v>58.740000000000009</v>
      </c>
      <c r="F371" s="649">
        <f t="shared" si="23"/>
        <v>176.22</v>
      </c>
      <c r="H371" s="415"/>
    </row>
    <row r="372" spans="1:8" s="416" customFormat="1">
      <c r="A372" s="650" t="s">
        <v>2592</v>
      </c>
      <c r="B372" s="630" t="s">
        <v>403</v>
      </c>
      <c r="C372" s="631" t="s">
        <v>88</v>
      </c>
      <c r="D372" s="632">
        <f>M.CALCULO!D387</f>
        <v>3</v>
      </c>
      <c r="E372" s="633">
        <f>COMPOSIÇÕES!H3537</f>
        <v>476.77</v>
      </c>
      <c r="F372" s="649">
        <f t="shared" si="23"/>
        <v>1430.31</v>
      </c>
      <c r="H372" s="415"/>
    </row>
    <row r="373" spans="1:8" s="416" customFormat="1">
      <c r="A373" s="650" t="s">
        <v>2593</v>
      </c>
      <c r="B373" s="630" t="s">
        <v>404</v>
      </c>
      <c r="C373" s="631" t="s">
        <v>88</v>
      </c>
      <c r="D373" s="632">
        <f>M.CALCULO!D388</f>
        <v>3</v>
      </c>
      <c r="E373" s="633">
        <f>COMPOSIÇÕES!H3547</f>
        <v>523.25</v>
      </c>
      <c r="F373" s="649">
        <f t="shared" si="23"/>
        <v>1569.75</v>
      </c>
      <c r="H373" s="415"/>
    </row>
    <row r="374" spans="1:8" s="416" customFormat="1" ht="24">
      <c r="A374" s="650" t="s">
        <v>2594</v>
      </c>
      <c r="B374" s="630" t="s">
        <v>399</v>
      </c>
      <c r="C374" s="631" t="s">
        <v>88</v>
      </c>
      <c r="D374" s="632">
        <f>M.CALCULO!D389</f>
        <v>5</v>
      </c>
      <c r="E374" s="633">
        <f>COMPOSIÇÕES!H3557</f>
        <v>140.88</v>
      </c>
      <c r="F374" s="649">
        <f t="shared" si="23"/>
        <v>704.4</v>
      </c>
      <c r="H374" s="415"/>
    </row>
    <row r="375" spans="1:8" s="416" customFormat="1">
      <c r="A375" s="650" t="s">
        <v>2595</v>
      </c>
      <c r="B375" s="630" t="s">
        <v>940</v>
      </c>
      <c r="C375" s="631" t="s">
        <v>14</v>
      </c>
      <c r="D375" s="632">
        <f>M.CALCULO!D390</f>
        <v>4</v>
      </c>
      <c r="E375" s="633">
        <f>COMPOSIÇÕES!H3567</f>
        <v>124.01</v>
      </c>
      <c r="F375" s="649">
        <f t="shared" si="23"/>
        <v>496.04</v>
      </c>
      <c r="H375" s="415"/>
    </row>
    <row r="376" spans="1:8" s="416" customFormat="1">
      <c r="A376" s="650" t="s">
        <v>2596</v>
      </c>
      <c r="B376" s="630" t="s">
        <v>92</v>
      </c>
      <c r="C376" s="631" t="s">
        <v>88</v>
      </c>
      <c r="D376" s="632">
        <f>M.CALCULO!D391</f>
        <v>9</v>
      </c>
      <c r="E376" s="633">
        <f>COMPOSIÇÕES!H3576</f>
        <v>53.26</v>
      </c>
      <c r="F376" s="649">
        <f t="shared" si="23"/>
        <v>479.34</v>
      </c>
      <c r="H376" s="415"/>
    </row>
    <row r="377" spans="1:8" s="416" customFormat="1">
      <c r="A377" s="650" t="s">
        <v>2597</v>
      </c>
      <c r="B377" s="630" t="s">
        <v>93</v>
      </c>
      <c r="C377" s="631" t="s">
        <v>15</v>
      </c>
      <c r="D377" s="632">
        <f>M.CALCULO!D392</f>
        <v>72</v>
      </c>
      <c r="E377" s="633">
        <f>COMPOSIÇÕES!H3585</f>
        <v>4.8900000000000006</v>
      </c>
      <c r="F377" s="649">
        <f t="shared" si="23"/>
        <v>352.08</v>
      </c>
      <c r="H377" s="415"/>
    </row>
    <row r="378" spans="1:8" s="416" customFormat="1">
      <c r="A378" s="650" t="s">
        <v>2598</v>
      </c>
      <c r="B378" s="630" t="s">
        <v>94</v>
      </c>
      <c r="C378" s="631" t="s">
        <v>88</v>
      </c>
      <c r="D378" s="632">
        <f>M.CALCULO!D393</f>
        <v>38</v>
      </c>
      <c r="E378" s="633">
        <f>COMPOSIÇÕES!H3594</f>
        <v>53.26</v>
      </c>
      <c r="F378" s="649">
        <f t="shared" si="23"/>
        <v>2023.88</v>
      </c>
      <c r="H378" s="415"/>
    </row>
    <row r="379" spans="1:8" s="349" customFormat="1">
      <c r="A379" s="650"/>
      <c r="B379" s="643"/>
      <c r="C379" s="642"/>
      <c r="D379" s="644"/>
      <c r="E379" s="651"/>
      <c r="F379" s="652"/>
      <c r="H379" s="343"/>
    </row>
    <row r="380" spans="1:8">
      <c r="A380" s="693">
        <v>21</v>
      </c>
      <c r="B380" s="682" t="s">
        <v>1231</v>
      </c>
      <c r="C380" s="694"/>
      <c r="D380" s="687"/>
      <c r="E380" s="684"/>
      <c r="F380" s="688">
        <f>SUM(F381:F384)</f>
        <v>30033.42</v>
      </c>
    </row>
    <row r="381" spans="1:8" s="416" customFormat="1">
      <c r="A381" s="650" t="s">
        <v>2599</v>
      </c>
      <c r="B381" s="630" t="s">
        <v>1387</v>
      </c>
      <c r="C381" s="631" t="s">
        <v>88</v>
      </c>
      <c r="D381" s="632">
        <f>M.CALCULO!D397</f>
        <v>1</v>
      </c>
      <c r="E381" s="633">
        <f>COMPOSIÇÕES!H3615</f>
        <v>4024.5400000000004</v>
      </c>
      <c r="F381" s="649">
        <f t="shared" ref="F381:F383" si="24">ROUND(D381*E381,2)</f>
        <v>4024.54</v>
      </c>
      <c r="H381" s="415"/>
    </row>
    <row r="382" spans="1:8" s="416" customFormat="1">
      <c r="A382" s="650" t="s">
        <v>2600</v>
      </c>
      <c r="B382" s="630" t="s">
        <v>1388</v>
      </c>
      <c r="C382" s="631" t="s">
        <v>88</v>
      </c>
      <c r="D382" s="632">
        <f>M.CALCULO!D398</f>
        <v>4</v>
      </c>
      <c r="E382" s="633">
        <f>COMPOSIÇÕES!H3635</f>
        <v>4132.49</v>
      </c>
      <c r="F382" s="649">
        <f t="shared" si="24"/>
        <v>16529.96</v>
      </c>
      <c r="H382" s="415"/>
    </row>
    <row r="383" spans="1:8" s="416" customFormat="1">
      <c r="A383" s="650" t="s">
        <v>2601</v>
      </c>
      <c r="B383" s="630" t="s">
        <v>1389</v>
      </c>
      <c r="C383" s="631" t="s">
        <v>88</v>
      </c>
      <c r="D383" s="632">
        <f>M.CALCULO!D399</f>
        <v>2</v>
      </c>
      <c r="E383" s="633">
        <f>COMPOSIÇÕES!H3655</f>
        <v>4739.46</v>
      </c>
      <c r="F383" s="649">
        <f t="shared" si="24"/>
        <v>9478.92</v>
      </c>
      <c r="H383" s="415"/>
    </row>
    <row r="384" spans="1:8" s="349" customFormat="1">
      <c r="A384" s="642"/>
      <c r="B384" s="643"/>
      <c r="C384" s="642"/>
      <c r="D384" s="644"/>
      <c r="E384" s="651"/>
      <c r="F384" s="652"/>
      <c r="H384" s="343"/>
    </row>
    <row r="385" spans="1:8">
      <c r="A385" s="686">
        <v>22</v>
      </c>
      <c r="B385" s="682" t="s">
        <v>1322</v>
      </c>
      <c r="C385" s="681"/>
      <c r="D385" s="687"/>
      <c r="E385" s="684"/>
      <c r="F385" s="688">
        <f>SUM(F386:F391)</f>
        <v>145102.49</v>
      </c>
    </row>
    <row r="386" spans="1:8" s="416" customFormat="1" ht="36">
      <c r="A386" s="647" t="s">
        <v>2602</v>
      </c>
      <c r="B386" s="630" t="s">
        <v>2026</v>
      </c>
      <c r="C386" s="631" t="s">
        <v>553</v>
      </c>
      <c r="D386" s="632">
        <f>M.CALCULO!D403</f>
        <v>1</v>
      </c>
      <c r="E386" s="633">
        <f>COMPOSIÇÕES!H3664</f>
        <v>1081.6500000000001</v>
      </c>
      <c r="F386" s="649">
        <f t="shared" ref="F386:F391" si="25">ROUND(D386*E386,2)</f>
        <v>1081.6500000000001</v>
      </c>
      <c r="H386" s="415"/>
    </row>
    <row r="387" spans="1:8" s="416" customFormat="1" ht="24">
      <c r="A387" s="647" t="s">
        <v>2603</v>
      </c>
      <c r="B387" s="630" t="s">
        <v>1443</v>
      </c>
      <c r="C387" s="631" t="s">
        <v>553</v>
      </c>
      <c r="D387" s="632">
        <f>M.CALCULO!D404</f>
        <v>1</v>
      </c>
      <c r="E387" s="633">
        <f>COMPOSIÇÕES!H3672</f>
        <v>2300.67</v>
      </c>
      <c r="F387" s="649">
        <f t="shared" si="25"/>
        <v>2300.67</v>
      </c>
      <c r="H387" s="415"/>
    </row>
    <row r="388" spans="1:8" s="416" customFormat="1" ht="48">
      <c r="A388" s="647" t="s">
        <v>2604</v>
      </c>
      <c r="B388" s="665" t="s">
        <v>1446</v>
      </c>
      <c r="C388" s="631" t="s">
        <v>1987</v>
      </c>
      <c r="D388" s="632">
        <f>M.CALCULO!D405</f>
        <v>1</v>
      </c>
      <c r="E388" s="633">
        <f>COMPOSIÇÕES!H3680</f>
        <v>525.88</v>
      </c>
      <c r="F388" s="649">
        <f t="shared" si="25"/>
        <v>525.88</v>
      </c>
      <c r="H388" s="415"/>
    </row>
    <row r="389" spans="1:8" s="416" customFormat="1">
      <c r="A389" s="647" t="s">
        <v>2605</v>
      </c>
      <c r="B389" s="665" t="s">
        <v>1318</v>
      </c>
      <c r="C389" s="631" t="s">
        <v>88</v>
      </c>
      <c r="D389" s="632">
        <f>M.CALCULO!D406</f>
        <v>606</v>
      </c>
      <c r="E389" s="633">
        <f>COMPOSIÇÕES!H3690</f>
        <v>65.17</v>
      </c>
      <c r="F389" s="649">
        <f t="shared" si="25"/>
        <v>39493.019999999997</v>
      </c>
      <c r="H389" s="415"/>
    </row>
    <row r="390" spans="1:8" s="416" customFormat="1" ht="36">
      <c r="A390" s="647" t="s">
        <v>2606</v>
      </c>
      <c r="B390" s="665" t="str">
        <f>COMPOSIÇÕES!B3692</f>
        <v>ESTAÇÃO DE TRATAMENTO COMPACTA PARA ESGOTO POR LODOS ATIVADOS PARA 150 PESSOAS, VERTICAL ASCENDENTE, ANARÓBIA/AERÓBIA, INCLUSO BASE DE CONCRETO</v>
      </c>
      <c r="C390" s="631" t="s">
        <v>88</v>
      </c>
      <c r="D390" s="632">
        <v>1</v>
      </c>
      <c r="E390" s="633">
        <f>COMPOSIÇÕES!H3711</f>
        <v>53413.03</v>
      </c>
      <c r="F390" s="649">
        <f t="shared" si="25"/>
        <v>53413.03</v>
      </c>
      <c r="H390" s="415"/>
    </row>
    <row r="391" spans="1:8" s="416" customFormat="1" ht="36">
      <c r="A391" s="647" t="s">
        <v>2607</v>
      </c>
      <c r="B391" s="665" t="s">
        <v>2027</v>
      </c>
      <c r="C391" s="631" t="s">
        <v>88</v>
      </c>
      <c r="D391" s="632">
        <f>M.CALCULO!D407</f>
        <v>1</v>
      </c>
      <c r="E391" s="633">
        <f>COMPOSIÇÕES!H3719</f>
        <v>48288.240000000005</v>
      </c>
      <c r="F391" s="649">
        <f t="shared" si="25"/>
        <v>48288.24</v>
      </c>
      <c r="H391" s="415"/>
    </row>
    <row r="392" spans="1:8">
      <c r="A392" s="647"/>
      <c r="B392" s="665"/>
      <c r="C392" s="631"/>
      <c r="D392" s="632"/>
      <c r="E392" s="648"/>
      <c r="F392" s="649"/>
    </row>
    <row r="393" spans="1:8">
      <c r="A393" s="695">
        <v>23</v>
      </c>
      <c r="B393" s="676" t="s">
        <v>1988</v>
      </c>
      <c r="C393" s="681"/>
      <c r="D393" s="683"/>
      <c r="E393" s="696"/>
      <c r="F393" s="697">
        <f>F394</f>
        <v>42449.72</v>
      </c>
    </row>
    <row r="394" spans="1:8">
      <c r="A394" s="698" t="s">
        <v>2608</v>
      </c>
      <c r="B394" s="699" t="s">
        <v>1989</v>
      </c>
      <c r="C394" s="700"/>
      <c r="D394" s="701"/>
      <c r="E394" s="702"/>
      <c r="F394" s="703">
        <f>SUM(F395:F402)</f>
        <v>42449.72</v>
      </c>
    </row>
    <row r="395" spans="1:8" s="416" customFormat="1">
      <c r="A395" s="650" t="s">
        <v>2609</v>
      </c>
      <c r="B395" s="630" t="s">
        <v>292</v>
      </c>
      <c r="C395" s="631" t="s">
        <v>14</v>
      </c>
      <c r="D395" s="632">
        <f>M.CALCULO!D412</f>
        <v>4</v>
      </c>
      <c r="E395" s="633">
        <f>COMPOSIÇÕES!H3737</f>
        <v>197.29</v>
      </c>
      <c r="F395" s="649">
        <f t="shared" ref="F395:F402" si="26">ROUND(D395*E395,2)</f>
        <v>789.16</v>
      </c>
      <c r="H395" s="415"/>
    </row>
    <row r="396" spans="1:8" s="416" customFormat="1">
      <c r="A396" s="650" t="s">
        <v>2610</v>
      </c>
      <c r="B396" s="630" t="s">
        <v>70</v>
      </c>
      <c r="C396" s="631" t="s">
        <v>14</v>
      </c>
      <c r="D396" s="632">
        <f>M.CALCULO!D413</f>
        <v>4</v>
      </c>
      <c r="E396" s="633">
        <f>COMPOSIÇÕES!H3749</f>
        <v>15.740000000000002</v>
      </c>
      <c r="F396" s="649">
        <f t="shared" si="26"/>
        <v>62.96</v>
      </c>
      <c r="H396" s="415"/>
    </row>
    <row r="397" spans="1:8" s="416" customFormat="1">
      <c r="A397" s="650" t="s">
        <v>2611</v>
      </c>
      <c r="B397" s="630" t="s">
        <v>79</v>
      </c>
      <c r="C397" s="631" t="s">
        <v>14</v>
      </c>
      <c r="D397" s="632">
        <f>M.CALCULO!D414</f>
        <v>4</v>
      </c>
      <c r="E397" s="633">
        <f>COMPOSIÇÕES!H3761</f>
        <v>10.579999999999998</v>
      </c>
      <c r="F397" s="649">
        <f t="shared" si="26"/>
        <v>42.32</v>
      </c>
      <c r="H397" s="415"/>
    </row>
    <row r="398" spans="1:8" s="416" customFormat="1">
      <c r="A398" s="650" t="s">
        <v>2612</v>
      </c>
      <c r="B398" s="630" t="s">
        <v>62</v>
      </c>
      <c r="C398" s="631" t="s">
        <v>15</v>
      </c>
      <c r="D398" s="632">
        <f>M.CALCULO!D415</f>
        <v>81.260000000000005</v>
      </c>
      <c r="E398" s="633">
        <f>COMPOSIÇÕES!H3771</f>
        <v>16.170000000000002</v>
      </c>
      <c r="F398" s="649">
        <f t="shared" si="26"/>
        <v>1313.97</v>
      </c>
      <c r="H398" s="415"/>
    </row>
    <row r="399" spans="1:8" s="416" customFormat="1" ht="24">
      <c r="A399" s="650" t="s">
        <v>2613</v>
      </c>
      <c r="B399" s="630" t="s">
        <v>1305</v>
      </c>
      <c r="C399" s="631" t="s">
        <v>15</v>
      </c>
      <c r="D399" s="632">
        <f>M.CALCULO!D416</f>
        <v>52</v>
      </c>
      <c r="E399" s="633">
        <f>COMPOSIÇÕES!H3782</f>
        <v>110.08</v>
      </c>
      <c r="F399" s="649">
        <f t="shared" si="26"/>
        <v>5724.16</v>
      </c>
      <c r="H399" s="415"/>
    </row>
    <row r="400" spans="1:8" s="416" customFormat="1">
      <c r="A400" s="650" t="s">
        <v>2614</v>
      </c>
      <c r="B400" s="630" t="s">
        <v>1292</v>
      </c>
      <c r="C400" s="631" t="s">
        <v>13</v>
      </c>
      <c r="D400" s="632">
        <f>M.CALCULO!D417</f>
        <v>63.34</v>
      </c>
      <c r="E400" s="633">
        <f>COMPOSIÇÕES!H3796</f>
        <v>444.78000000000009</v>
      </c>
      <c r="F400" s="649">
        <f t="shared" si="26"/>
        <v>28172.37</v>
      </c>
      <c r="H400" s="415"/>
    </row>
    <row r="401" spans="1:8" s="416" customFormat="1">
      <c r="A401" s="650" t="s">
        <v>2615</v>
      </c>
      <c r="B401" s="630" t="s">
        <v>1294</v>
      </c>
      <c r="C401" s="631" t="s">
        <v>15</v>
      </c>
      <c r="D401" s="632">
        <f>M.CALCULO!D418</f>
        <v>126.68</v>
      </c>
      <c r="E401" s="633">
        <f>COMPOSIÇÕES!H3810</f>
        <v>48.06</v>
      </c>
      <c r="F401" s="649">
        <f t="shared" si="26"/>
        <v>6088.24</v>
      </c>
      <c r="H401" s="415"/>
    </row>
    <row r="402" spans="1:8" s="513" customFormat="1">
      <c r="A402" s="650" t="s">
        <v>2616</v>
      </c>
      <c r="B402" s="666" t="s">
        <v>2029</v>
      </c>
      <c r="C402" s="667" t="s">
        <v>14</v>
      </c>
      <c r="D402" s="668">
        <f>M.CALCULO!D419</f>
        <v>2</v>
      </c>
      <c r="E402" s="633">
        <v>128.27000000000001</v>
      </c>
      <c r="F402" s="634">
        <f t="shared" si="26"/>
        <v>256.54000000000002</v>
      </c>
      <c r="H402" s="514"/>
    </row>
    <row r="403" spans="1:8" s="349" customFormat="1">
      <c r="A403" s="669"/>
      <c r="B403" s="670"/>
      <c r="C403" s="669"/>
      <c r="D403" s="671"/>
      <c r="E403" s="672"/>
      <c r="F403" s="673"/>
      <c r="H403" s="343"/>
    </row>
    <row r="404" spans="1:8" s="351" customFormat="1" ht="15" thickBot="1">
      <c r="A404" s="952" t="s">
        <v>1990</v>
      </c>
      <c r="B404" s="953"/>
      <c r="C404" s="953"/>
      <c r="D404" s="953"/>
      <c r="E404" s="954"/>
      <c r="F404" s="674">
        <f>F393+F385+F380+F361+F245+F151+F147+F135+F126+F114+F109+F100+F94+F87+F80+F64+F50+F44+F39+F35+F24+F16+F12</f>
        <v>3423999.9955519997</v>
      </c>
      <c r="H404" s="343"/>
    </row>
    <row r="406" spans="1:8" s="362" customFormat="1">
      <c r="A406" s="939" t="s">
        <v>2624</v>
      </c>
      <c r="B406" s="939"/>
      <c r="C406" s="939"/>
      <c r="D406" s="939"/>
      <c r="E406" s="939"/>
      <c r="F406" s="939"/>
      <c r="H406" s="363"/>
    </row>
    <row r="407" spans="1:8" s="362" customFormat="1">
      <c r="A407" s="417"/>
      <c r="B407" s="358"/>
      <c r="C407" s="359"/>
      <c r="D407" s="360"/>
      <c r="E407" s="361"/>
      <c r="F407" s="361"/>
      <c r="H407" s="363"/>
    </row>
    <row r="408" spans="1:8" s="118" customFormat="1">
      <c r="A408" s="331"/>
      <c r="B408" s="331"/>
      <c r="C408" s="331"/>
      <c r="D408" s="331"/>
      <c r="E408" s="331"/>
      <c r="F408" s="331"/>
      <c r="H408" s="294"/>
    </row>
    <row r="409" spans="1:8">
      <c r="A409" s="476"/>
      <c r="B409" s="352"/>
      <c r="C409" s="352"/>
      <c r="D409" s="352"/>
      <c r="E409" s="352"/>
    </row>
    <row r="410" spans="1:8">
      <c r="A410" s="933"/>
      <c r="B410" s="933"/>
      <c r="C410" s="933"/>
      <c r="D410" s="933"/>
      <c r="E410" s="933"/>
      <c r="F410" s="933"/>
    </row>
    <row r="411" spans="1:8">
      <c r="A411" s="940"/>
      <c r="B411" s="940"/>
      <c r="C411" s="940"/>
      <c r="D411" s="940"/>
      <c r="E411" s="940"/>
      <c r="F411" s="940"/>
    </row>
  </sheetData>
  <mergeCells count="20">
    <mergeCell ref="A411:F411"/>
    <mergeCell ref="A10:A11"/>
    <mergeCell ref="B10:B11"/>
    <mergeCell ref="C10:C11"/>
    <mergeCell ref="D10:D11"/>
    <mergeCell ref="E10:E11"/>
    <mergeCell ref="F10:F11"/>
    <mergeCell ref="A404:E404"/>
    <mergeCell ref="A1:F1"/>
    <mergeCell ref="A2:F2"/>
    <mergeCell ref="A3:F3"/>
    <mergeCell ref="A4:F4"/>
    <mergeCell ref="A410:F410"/>
    <mergeCell ref="A5:C5"/>
    <mergeCell ref="E5:F5"/>
    <mergeCell ref="A6:C6"/>
    <mergeCell ref="E6:F6"/>
    <mergeCell ref="A8:F8"/>
    <mergeCell ref="E7:F7"/>
    <mergeCell ref="A406:F406"/>
  </mergeCells>
  <pageMargins left="1.1811023622047245" right="0" top="0.78740157480314965" bottom="0.78740157480314965" header="0.31496062992125984" footer="0.31496062992125984"/>
  <pageSetup paperSize="9" scale="74" fitToHeight="10000" orientation="portrait" r:id="rId1"/>
  <rowBreaks count="9" manualBreakCount="9">
    <brk id="49" max="6" man="1"/>
    <brk id="93" max="5" man="1"/>
    <brk id="125" max="6" man="1"/>
    <brk id="167" max="5" man="1"/>
    <brk id="201" max="6" man="1"/>
    <brk id="236" max="6" man="1"/>
    <brk id="286" max="5" man="1"/>
    <brk id="333" max="6" man="1"/>
    <brk id="379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24"/>
  <sheetViews>
    <sheetView topLeftCell="A916" zoomScaleNormal="100" workbookViewId="0">
      <selection activeCell="D3830" sqref="D3830"/>
    </sheetView>
  </sheetViews>
  <sheetFormatPr defaultColWidth="9.140625" defaultRowHeight="12.75"/>
  <cols>
    <col min="1" max="1" width="8.7109375" style="443" customWidth="1"/>
    <col min="2" max="2" width="69.42578125" style="399" customWidth="1"/>
    <col min="3" max="3" width="6.5703125" style="443" customWidth="1"/>
    <col min="4" max="4" width="12.42578125" style="440" customWidth="1"/>
    <col min="5" max="5" width="1.42578125" style="399" customWidth="1"/>
    <col min="6" max="6" width="13.5703125" style="472" customWidth="1"/>
    <col min="7" max="7" width="6.42578125" style="399" customWidth="1"/>
    <col min="8" max="8" width="11.7109375" style="399" customWidth="1"/>
    <col min="9" max="9" width="17.42578125" style="400" customWidth="1"/>
    <col min="10" max="10" width="16.7109375" style="404" customWidth="1"/>
    <col min="11" max="16384" width="9.140625" style="399"/>
  </cols>
  <sheetData>
    <row r="1" spans="1:10" s="579" customFormat="1">
      <c r="A1" s="932"/>
      <c r="B1" s="932"/>
      <c r="C1" s="932"/>
      <c r="D1" s="932"/>
      <c r="E1" s="932"/>
      <c r="F1" s="932"/>
      <c r="I1" s="400"/>
      <c r="J1" s="404"/>
    </row>
    <row r="2" spans="1:10" s="579" customFormat="1">
      <c r="A2" s="932"/>
      <c r="B2" s="932"/>
      <c r="C2" s="932"/>
      <c r="D2" s="932"/>
      <c r="E2" s="932"/>
      <c r="F2" s="932"/>
      <c r="I2" s="400"/>
      <c r="J2" s="404"/>
    </row>
    <row r="3" spans="1:10" s="579" customFormat="1">
      <c r="A3" s="932"/>
      <c r="B3" s="932"/>
      <c r="C3" s="932"/>
      <c r="D3" s="932"/>
      <c r="E3" s="932"/>
      <c r="F3" s="932"/>
      <c r="I3" s="400"/>
      <c r="J3" s="404"/>
    </row>
    <row r="4" spans="1:10" s="579" customFormat="1">
      <c r="A4" s="932"/>
      <c r="B4" s="932"/>
      <c r="C4" s="932"/>
      <c r="D4" s="932"/>
      <c r="E4" s="932"/>
      <c r="F4" s="932"/>
      <c r="I4" s="400"/>
      <c r="J4" s="404"/>
    </row>
    <row r="5" spans="1:10" ht="12.75" customHeight="1">
      <c r="A5" s="751" t="s">
        <v>2623</v>
      </c>
      <c r="B5" s="752"/>
      <c r="C5" s="752"/>
      <c r="D5" s="342"/>
      <c r="F5" s="399"/>
      <c r="G5" s="936" t="s">
        <v>2617</v>
      </c>
      <c r="H5" s="936"/>
    </row>
    <row r="6" spans="1:10" ht="15">
      <c r="A6" s="751" t="s">
        <v>2621</v>
      </c>
      <c r="B6" s="752"/>
      <c r="C6" s="752"/>
      <c r="D6" s="342"/>
      <c r="F6" s="399"/>
      <c r="G6" s="937" t="s">
        <v>2618</v>
      </c>
      <c r="H6" s="937"/>
    </row>
    <row r="7" spans="1:10" ht="22.5" customHeight="1">
      <c r="A7" s="977" t="s">
        <v>525</v>
      </c>
      <c r="B7" s="977"/>
      <c r="C7" s="977"/>
      <c r="D7" s="977"/>
      <c r="E7" s="977"/>
      <c r="F7" s="977"/>
      <c r="G7" s="977"/>
      <c r="H7" s="977"/>
    </row>
    <row r="8" spans="1:10" ht="15" customHeight="1" thickBot="1">
      <c r="A8" s="980" t="s">
        <v>1063</v>
      </c>
      <c r="B8" s="980"/>
      <c r="C8" s="980"/>
      <c r="D8" s="980"/>
      <c r="E8" s="980"/>
      <c r="F8" s="980"/>
      <c r="G8" s="980"/>
      <c r="H8" s="980"/>
    </row>
    <row r="9" spans="1:10" s="443" customFormat="1" ht="13.5" thickBot="1">
      <c r="A9" s="174" t="s">
        <v>526</v>
      </c>
      <c r="B9" s="748" t="s">
        <v>491</v>
      </c>
      <c r="C9" s="292" t="s">
        <v>492</v>
      </c>
      <c r="D9" s="749" t="s">
        <v>527</v>
      </c>
      <c r="E9" s="292"/>
      <c r="F9" s="750" t="s">
        <v>528</v>
      </c>
      <c r="G9" s="978" t="s">
        <v>506</v>
      </c>
      <c r="H9" s="979"/>
      <c r="I9" s="441"/>
      <c r="J9" s="442"/>
    </row>
    <row r="10" spans="1:10" s="167" customFormat="1">
      <c r="A10" s="756">
        <v>1</v>
      </c>
      <c r="B10" s="757" t="s">
        <v>1947</v>
      </c>
      <c r="C10" s="758"/>
      <c r="D10" s="759"/>
      <c r="E10" s="760"/>
      <c r="F10" s="761"/>
      <c r="G10" s="762"/>
      <c r="H10" s="763"/>
      <c r="I10" s="326"/>
      <c r="J10" s="344"/>
    </row>
    <row r="11" spans="1:10" s="167" customFormat="1">
      <c r="A11" s="756" t="s">
        <v>2292</v>
      </c>
      <c r="B11" s="757" t="s">
        <v>1948</v>
      </c>
      <c r="C11" s="758"/>
      <c r="D11" s="759"/>
      <c r="E11" s="760"/>
      <c r="F11" s="761"/>
      <c r="G11" s="762"/>
      <c r="H11" s="763"/>
      <c r="I11" s="326"/>
      <c r="J11" s="344"/>
    </row>
    <row r="12" spans="1:10" s="406" customFormat="1" ht="15">
      <c r="A12" s="403" t="s">
        <v>2293</v>
      </c>
      <c r="B12" s="961" t="s">
        <v>1605</v>
      </c>
      <c r="C12" s="961"/>
      <c r="D12" s="961"/>
      <c r="E12" s="961"/>
      <c r="F12" s="961"/>
      <c r="H12" s="403" t="s">
        <v>13</v>
      </c>
      <c r="I12" s="407"/>
      <c r="J12" s="408"/>
    </row>
    <row r="13" spans="1:10">
      <c r="A13" s="398"/>
      <c r="B13" s="230" t="s">
        <v>1606</v>
      </c>
      <c r="C13" s="231" t="s">
        <v>1612</v>
      </c>
      <c r="D13" s="401">
        <v>1</v>
      </c>
      <c r="E13" s="959">
        <v>158</v>
      </c>
      <c r="F13" s="959"/>
      <c r="G13" s="958">
        <f t="shared" ref="G13:G18" si="0">ROUND(D13*E13,2)</f>
        <v>158</v>
      </c>
      <c r="H13" s="958"/>
    </row>
    <row r="14" spans="1:10">
      <c r="A14" s="398"/>
      <c r="B14" s="230" t="s">
        <v>1607</v>
      </c>
      <c r="C14" s="231" t="s">
        <v>1612</v>
      </c>
      <c r="D14" s="401">
        <v>1</v>
      </c>
      <c r="E14" s="959">
        <v>60</v>
      </c>
      <c r="F14" s="959"/>
      <c r="G14" s="958">
        <f t="shared" si="0"/>
        <v>60</v>
      </c>
      <c r="H14" s="958"/>
    </row>
    <row r="15" spans="1:10">
      <c r="A15" s="398"/>
      <c r="B15" s="230" t="s">
        <v>1608</v>
      </c>
      <c r="C15" s="231" t="s">
        <v>1612</v>
      </c>
      <c r="D15" s="401">
        <v>1</v>
      </c>
      <c r="E15" s="959">
        <v>158</v>
      </c>
      <c r="F15" s="959"/>
      <c r="G15" s="958">
        <f t="shared" si="0"/>
        <v>158</v>
      </c>
      <c r="H15" s="958"/>
    </row>
    <row r="16" spans="1:10">
      <c r="A16" s="398"/>
      <c r="B16" s="230" t="s">
        <v>1609</v>
      </c>
      <c r="C16" s="231" t="s">
        <v>1612</v>
      </c>
      <c r="D16" s="401">
        <v>1</v>
      </c>
      <c r="E16" s="959">
        <v>3183.24</v>
      </c>
      <c r="F16" s="959"/>
      <c r="G16" s="958">
        <f t="shared" si="0"/>
        <v>3183.24</v>
      </c>
      <c r="H16" s="958"/>
    </row>
    <row r="17" spans="1:10">
      <c r="A17" s="398"/>
      <c r="B17" s="230" t="s">
        <v>1610</v>
      </c>
      <c r="C17" s="231" t="s">
        <v>1612</v>
      </c>
      <c r="D17" s="401">
        <v>1</v>
      </c>
      <c r="E17" s="959">
        <v>3184.24</v>
      </c>
      <c r="F17" s="959"/>
      <c r="G17" s="958">
        <f t="shared" si="0"/>
        <v>3184.24</v>
      </c>
      <c r="H17" s="958"/>
    </row>
    <row r="18" spans="1:10">
      <c r="A18" s="398"/>
      <c r="B18" s="230" t="s">
        <v>1611</v>
      </c>
      <c r="C18" s="231" t="s">
        <v>1612</v>
      </c>
      <c r="D18" s="401">
        <v>1</v>
      </c>
      <c r="E18" s="959">
        <v>148</v>
      </c>
      <c r="F18" s="959"/>
      <c r="G18" s="958">
        <f t="shared" si="0"/>
        <v>148</v>
      </c>
      <c r="H18" s="958"/>
    </row>
    <row r="19" spans="1:10">
      <c r="A19" s="398"/>
      <c r="B19" s="955" t="s">
        <v>536</v>
      </c>
      <c r="C19" s="955"/>
      <c r="D19" s="955"/>
      <c r="E19" s="389"/>
      <c r="F19" s="409"/>
      <c r="G19" s="410"/>
      <c r="H19" s="249">
        <f>SUM(G13:H18)</f>
        <v>6891.48</v>
      </c>
    </row>
    <row r="20" spans="1:10">
      <c r="A20" s="398"/>
      <c r="B20" s="955" t="s">
        <v>537</v>
      </c>
      <c r="C20" s="955"/>
      <c r="D20" s="955"/>
      <c r="E20" s="389"/>
      <c r="F20" s="409"/>
      <c r="G20" s="410"/>
      <c r="H20" s="249" t="s">
        <v>0</v>
      </c>
    </row>
    <row r="21" spans="1:10">
      <c r="A21" s="398"/>
      <c r="B21" s="955" t="s">
        <v>1935</v>
      </c>
      <c r="C21" s="955"/>
      <c r="D21" s="955"/>
      <c r="E21" s="389"/>
      <c r="F21" s="409"/>
      <c r="G21" s="410"/>
      <c r="H21" s="249">
        <f>SUM(H19:H20)</f>
        <v>6891.48</v>
      </c>
    </row>
    <row r="22" spans="1:10">
      <c r="A22" s="398"/>
      <c r="B22" s="955" t="s">
        <v>538</v>
      </c>
      <c r="C22" s="955"/>
      <c r="D22" s="955"/>
      <c r="E22" s="389"/>
      <c r="F22" s="411" t="s">
        <v>539</v>
      </c>
      <c r="G22" s="410"/>
      <c r="H22" s="249">
        <f>ROUND(H21*F22,2)</f>
        <v>1720.11</v>
      </c>
    </row>
    <row r="23" spans="1:10">
      <c r="A23" s="398"/>
      <c r="B23" s="956" t="s">
        <v>540</v>
      </c>
      <c r="C23" s="956"/>
      <c r="D23" s="956"/>
      <c r="E23" s="740"/>
      <c r="F23" s="768"/>
      <c r="G23" s="769"/>
      <c r="H23" s="770">
        <f>SUM(H21:H22)</f>
        <v>8611.59</v>
      </c>
    </row>
    <row r="24" spans="1:10" s="579" customFormat="1">
      <c r="A24" s="601"/>
      <c r="B24" s="780"/>
      <c r="C24" s="780"/>
      <c r="D24" s="780"/>
      <c r="E24" s="740"/>
      <c r="F24" s="768"/>
      <c r="G24" s="769"/>
      <c r="H24" s="770"/>
      <c r="I24" s="400"/>
      <c r="J24" s="404"/>
    </row>
    <row r="25" spans="1:10" s="167" customFormat="1">
      <c r="A25" s="756">
        <v>2</v>
      </c>
      <c r="B25" s="757" t="s">
        <v>1614</v>
      </c>
      <c r="C25" s="758"/>
      <c r="D25" s="759"/>
      <c r="E25" s="760"/>
      <c r="F25" s="761"/>
      <c r="G25" s="762"/>
      <c r="H25" s="763"/>
      <c r="I25" s="326"/>
      <c r="J25" s="344"/>
    </row>
    <row r="26" spans="1:10" s="406" customFormat="1" ht="15">
      <c r="A26" s="403" t="s">
        <v>2294</v>
      </c>
      <c r="B26" s="961" t="s">
        <v>529</v>
      </c>
      <c r="C26" s="961"/>
      <c r="D26" s="961"/>
      <c r="E26" s="961"/>
      <c r="F26" s="961"/>
      <c r="H26" s="403" t="s">
        <v>13</v>
      </c>
      <c r="I26" s="407"/>
      <c r="J26" s="408"/>
    </row>
    <row r="27" spans="1:10">
      <c r="A27" s="398"/>
      <c r="B27" s="230" t="s">
        <v>530</v>
      </c>
      <c r="C27" s="231" t="s">
        <v>15</v>
      </c>
      <c r="D27" s="401">
        <v>1</v>
      </c>
      <c r="E27" s="959">
        <f>Insumos!C9</f>
        <v>3.1577000000000002</v>
      </c>
      <c r="F27" s="959"/>
      <c r="G27" s="958">
        <f t="shared" ref="G27:G33" si="1">ROUND(D27*E27,2)</f>
        <v>3.16</v>
      </c>
      <c r="H27" s="958"/>
    </row>
    <row r="28" spans="1:10">
      <c r="A28" s="398"/>
      <c r="B28" s="230" t="s">
        <v>531</v>
      </c>
      <c r="C28" s="231" t="s">
        <v>15</v>
      </c>
      <c r="D28" s="401">
        <v>3.9593749999999952</v>
      </c>
      <c r="E28" s="959">
        <f>Insumos!C10</f>
        <v>4.5409000000000006</v>
      </c>
      <c r="F28" s="959"/>
      <c r="G28" s="958">
        <f t="shared" si="1"/>
        <v>17.98</v>
      </c>
      <c r="H28" s="958"/>
    </row>
    <row r="29" spans="1:10">
      <c r="A29" s="398"/>
      <c r="B29" s="230" t="s">
        <v>532</v>
      </c>
      <c r="C29" s="231" t="s">
        <v>13</v>
      </c>
      <c r="D29" s="401">
        <v>1</v>
      </c>
      <c r="E29" s="959">
        <f>Insumos!C11</f>
        <v>202.8117</v>
      </c>
      <c r="F29" s="959"/>
      <c r="G29" s="958">
        <f t="shared" si="1"/>
        <v>202.81</v>
      </c>
      <c r="H29" s="958"/>
    </row>
    <row r="30" spans="1:10">
      <c r="A30" s="398"/>
      <c r="B30" s="230" t="s">
        <v>533</v>
      </c>
      <c r="C30" s="231" t="s">
        <v>16</v>
      </c>
      <c r="D30" s="401">
        <v>0.09</v>
      </c>
      <c r="E30" s="959">
        <f>Insumos!C12</f>
        <v>6.0606</v>
      </c>
      <c r="F30" s="959"/>
      <c r="G30" s="958">
        <f t="shared" si="1"/>
        <v>0.55000000000000004</v>
      </c>
      <c r="H30" s="958"/>
    </row>
    <row r="31" spans="1:10">
      <c r="A31" s="398"/>
      <c r="B31" s="230" t="s">
        <v>534</v>
      </c>
      <c r="C31" s="231" t="s">
        <v>97</v>
      </c>
      <c r="D31" s="401">
        <v>1.098E-2</v>
      </c>
      <c r="E31" s="957">
        <f>Insumos!C13</f>
        <v>267.87670000000003</v>
      </c>
      <c r="F31" s="957"/>
      <c r="G31" s="958">
        <f t="shared" si="1"/>
        <v>2.94</v>
      </c>
      <c r="H31" s="958"/>
    </row>
    <row r="32" spans="1:10">
      <c r="A32" s="398"/>
      <c r="B32" s="230" t="s">
        <v>508</v>
      </c>
      <c r="C32" s="231" t="s">
        <v>112</v>
      </c>
      <c r="D32" s="401">
        <v>1</v>
      </c>
      <c r="E32" s="959">
        <f>Insumos!C14</f>
        <v>8.6722999999999999</v>
      </c>
      <c r="F32" s="959"/>
      <c r="G32" s="958">
        <f t="shared" si="1"/>
        <v>8.67</v>
      </c>
      <c r="H32" s="958"/>
    </row>
    <row r="33" spans="1:10">
      <c r="A33" s="398"/>
      <c r="B33" s="230" t="s">
        <v>535</v>
      </c>
      <c r="C33" s="231" t="s">
        <v>112</v>
      </c>
      <c r="D33" s="401">
        <v>2</v>
      </c>
      <c r="E33" s="959">
        <f>Insumos!C15</f>
        <v>6.4064000000000005</v>
      </c>
      <c r="F33" s="959"/>
      <c r="G33" s="958">
        <f t="shared" si="1"/>
        <v>12.81</v>
      </c>
      <c r="H33" s="958"/>
    </row>
    <row r="34" spans="1:10">
      <c r="A34" s="398"/>
      <c r="B34" s="955" t="s">
        <v>536</v>
      </c>
      <c r="C34" s="955"/>
      <c r="D34" s="955"/>
      <c r="E34" s="389"/>
      <c r="F34" s="409"/>
      <c r="G34" s="410"/>
      <c r="H34" s="249">
        <f>SUM(G27:H31)</f>
        <v>227.44</v>
      </c>
    </row>
    <row r="35" spans="1:10">
      <c r="A35" s="398"/>
      <c r="B35" s="955" t="s">
        <v>537</v>
      </c>
      <c r="C35" s="955"/>
      <c r="D35" s="955"/>
      <c r="E35" s="389"/>
      <c r="F35" s="409"/>
      <c r="G35" s="410"/>
      <c r="H35" s="249">
        <f>SUM(G32:H33)</f>
        <v>21.48</v>
      </c>
    </row>
    <row r="36" spans="1:10">
      <c r="A36" s="398"/>
      <c r="B36" s="955" t="s">
        <v>1937</v>
      </c>
      <c r="C36" s="955"/>
      <c r="D36" s="955"/>
      <c r="E36" s="389"/>
      <c r="F36" s="409"/>
      <c r="G36" s="410"/>
      <c r="H36" s="328">
        <f>SUM(H34:H35)</f>
        <v>248.92</v>
      </c>
      <c r="I36" s="412"/>
    </row>
    <row r="37" spans="1:10">
      <c r="A37" s="398"/>
      <c r="B37" s="955" t="s">
        <v>538</v>
      </c>
      <c r="C37" s="955"/>
      <c r="D37" s="955"/>
      <c r="E37" s="389"/>
      <c r="F37" s="411" t="s">
        <v>539</v>
      </c>
      <c r="G37" s="410"/>
      <c r="H37" s="249">
        <f>ROUND(H36*F37,2)</f>
        <v>62.13</v>
      </c>
    </row>
    <row r="38" spans="1:10">
      <c r="A38" s="398"/>
      <c r="B38" s="956" t="s">
        <v>540</v>
      </c>
      <c r="C38" s="956"/>
      <c r="D38" s="956"/>
      <c r="E38" s="740"/>
      <c r="F38" s="768"/>
      <c r="G38" s="769"/>
      <c r="H38" s="771">
        <f>TRUNC(SUM(H36:H37),2)</f>
        <v>311.05</v>
      </c>
    </row>
    <row r="39" spans="1:10" s="579" customFormat="1">
      <c r="A39" s="601"/>
      <c r="B39" s="780"/>
      <c r="C39" s="780"/>
      <c r="D39" s="780"/>
      <c r="E39" s="740"/>
      <c r="F39" s="768"/>
      <c r="G39" s="769"/>
      <c r="H39" s="771"/>
      <c r="I39" s="400"/>
      <c r="J39" s="404"/>
    </row>
    <row r="40" spans="1:10" s="429" customFormat="1" ht="36.6" customHeight="1">
      <c r="A40" s="403" t="s">
        <v>2295</v>
      </c>
      <c r="B40" s="961" t="s">
        <v>543</v>
      </c>
      <c r="C40" s="961"/>
      <c r="D40" s="961"/>
      <c r="E40" s="961"/>
      <c r="F40" s="961"/>
      <c r="H40" s="428" t="s">
        <v>13</v>
      </c>
      <c r="I40" s="430"/>
      <c r="J40" s="408"/>
    </row>
    <row r="41" spans="1:10">
      <c r="A41" s="398"/>
      <c r="B41" s="230" t="s">
        <v>544</v>
      </c>
      <c r="C41" s="231" t="s">
        <v>97</v>
      </c>
      <c r="D41" s="401">
        <v>0.03</v>
      </c>
      <c r="E41" s="964">
        <f>Insumos!C18</f>
        <v>40.950000000000003</v>
      </c>
      <c r="F41" s="964"/>
      <c r="G41" s="958">
        <f t="shared" ref="G41:G76" si="2">ROUND(D41*E41,2)</f>
        <v>1.23</v>
      </c>
      <c r="H41" s="958"/>
    </row>
    <row r="42" spans="1:10">
      <c r="A42" s="398"/>
      <c r="B42" s="230" t="s">
        <v>545</v>
      </c>
      <c r="C42" s="231" t="s">
        <v>15</v>
      </c>
      <c r="D42" s="401">
        <v>1.5299999999999999E-2</v>
      </c>
      <c r="E42" s="964">
        <f>Insumos!C19</f>
        <v>0.54600000000000004</v>
      </c>
      <c r="F42" s="964"/>
      <c r="G42" s="958">
        <f t="shared" si="2"/>
        <v>0.01</v>
      </c>
      <c r="H42" s="958"/>
    </row>
    <row r="43" spans="1:10">
      <c r="A43" s="398"/>
      <c r="B43" s="230" t="s">
        <v>546</v>
      </c>
      <c r="C43" s="231" t="s">
        <v>14</v>
      </c>
      <c r="D43" s="401">
        <v>0.03</v>
      </c>
      <c r="E43" s="964">
        <f>Insumos!C20</f>
        <v>18.791499999999999</v>
      </c>
      <c r="F43" s="964"/>
      <c r="G43" s="958">
        <f t="shared" si="2"/>
        <v>0.56000000000000005</v>
      </c>
      <c r="H43" s="958"/>
    </row>
    <row r="44" spans="1:10" ht="32.1" customHeight="1">
      <c r="A44" s="398"/>
      <c r="B44" s="230" t="s">
        <v>547</v>
      </c>
      <c r="C44" s="231" t="s">
        <v>14</v>
      </c>
      <c r="D44" s="401">
        <v>0.03</v>
      </c>
      <c r="E44" s="964">
        <f>Insumos!C21</f>
        <v>3.1395000000000004</v>
      </c>
      <c r="F44" s="964"/>
      <c r="G44" s="958">
        <f t="shared" si="2"/>
        <v>0.09</v>
      </c>
      <c r="H44" s="958"/>
    </row>
    <row r="45" spans="1:10">
      <c r="A45" s="398"/>
      <c r="B45" s="230" t="s">
        <v>548</v>
      </c>
      <c r="C45" s="231" t="s">
        <v>14</v>
      </c>
      <c r="D45" s="401">
        <v>0.51</v>
      </c>
      <c r="E45" s="964">
        <f>Insumos!C22</f>
        <v>46.1188</v>
      </c>
      <c r="F45" s="964"/>
      <c r="G45" s="958">
        <f t="shared" si="2"/>
        <v>23.52</v>
      </c>
      <c r="H45" s="958"/>
    </row>
    <row r="46" spans="1:10">
      <c r="A46" s="398"/>
      <c r="B46" s="230" t="s">
        <v>549</v>
      </c>
      <c r="C46" s="231" t="s">
        <v>16</v>
      </c>
      <c r="D46" s="401">
        <v>12.65</v>
      </c>
      <c r="E46" s="964">
        <f>Insumos!C23</f>
        <v>0.50050000000000006</v>
      </c>
      <c r="F46" s="964"/>
      <c r="G46" s="958">
        <f t="shared" si="2"/>
        <v>6.33</v>
      </c>
      <c r="H46" s="958"/>
    </row>
    <row r="47" spans="1:10">
      <c r="A47" s="398"/>
      <c r="B47" s="230" t="s">
        <v>550</v>
      </c>
      <c r="C47" s="231" t="s">
        <v>14</v>
      </c>
      <c r="D47" s="401">
        <v>0.03</v>
      </c>
      <c r="E47" s="964">
        <f>Insumos!C24</f>
        <v>11.284000000000001</v>
      </c>
      <c r="F47" s="964"/>
      <c r="G47" s="958">
        <f t="shared" si="2"/>
        <v>0.34</v>
      </c>
      <c r="H47" s="958"/>
    </row>
    <row r="48" spans="1:10">
      <c r="A48" s="398"/>
      <c r="B48" s="230" t="s">
        <v>551</v>
      </c>
      <c r="C48" s="231" t="s">
        <v>14</v>
      </c>
      <c r="D48" s="401">
        <v>4.9000000000000004</v>
      </c>
      <c r="E48" s="964">
        <f>Insumos!C25</f>
        <v>3.4125000000000001</v>
      </c>
      <c r="F48" s="964"/>
      <c r="G48" s="958">
        <f t="shared" si="2"/>
        <v>16.72</v>
      </c>
      <c r="H48" s="958"/>
    </row>
    <row r="49" spans="1:8" ht="32.1" customHeight="1">
      <c r="A49" s="398"/>
      <c r="B49" s="230" t="s">
        <v>552</v>
      </c>
      <c r="C49" s="231" t="s">
        <v>553</v>
      </c>
      <c r="D49" s="401">
        <v>0.09</v>
      </c>
      <c r="E49" s="964">
        <f>Insumos!C26</f>
        <v>22.977499999999999</v>
      </c>
      <c r="F49" s="964"/>
      <c r="G49" s="958">
        <f t="shared" si="2"/>
        <v>2.0699999999999998</v>
      </c>
      <c r="H49" s="958"/>
    </row>
    <row r="50" spans="1:8">
      <c r="A50" s="398"/>
      <c r="B50" s="230" t="s">
        <v>554</v>
      </c>
      <c r="C50" s="231" t="s">
        <v>14</v>
      </c>
      <c r="D50" s="401">
        <v>0.15</v>
      </c>
      <c r="E50" s="964">
        <f>Insumos!C27</f>
        <v>0.58240000000000003</v>
      </c>
      <c r="F50" s="964"/>
      <c r="G50" s="958">
        <f t="shared" si="2"/>
        <v>0.09</v>
      </c>
      <c r="H50" s="958"/>
    </row>
    <row r="51" spans="1:8" ht="32.1" customHeight="1">
      <c r="A51" s="398"/>
      <c r="B51" s="230" t="s">
        <v>555</v>
      </c>
      <c r="C51" s="231" t="s">
        <v>15</v>
      </c>
      <c r="D51" s="401">
        <v>0.03</v>
      </c>
      <c r="E51" s="964">
        <v>12.1</v>
      </c>
      <c r="F51" s="964"/>
      <c r="G51" s="958">
        <f t="shared" si="2"/>
        <v>0.36</v>
      </c>
      <c r="H51" s="958"/>
    </row>
    <row r="52" spans="1:8" ht="32.1" customHeight="1">
      <c r="A52" s="398"/>
      <c r="B52" s="230" t="s">
        <v>556</v>
      </c>
      <c r="C52" s="231" t="s">
        <v>15</v>
      </c>
      <c r="D52" s="401">
        <v>1.3</v>
      </c>
      <c r="E52" s="964">
        <v>5.03</v>
      </c>
      <c r="F52" s="964"/>
      <c r="G52" s="958">
        <f t="shared" si="2"/>
        <v>6.54</v>
      </c>
      <c r="H52" s="958"/>
    </row>
    <row r="53" spans="1:8" ht="21.6" customHeight="1">
      <c r="A53" s="398"/>
      <c r="B53" s="230" t="s">
        <v>557</v>
      </c>
      <c r="C53" s="231" t="s">
        <v>15</v>
      </c>
      <c r="D53" s="401">
        <v>3.83</v>
      </c>
      <c r="E53" s="964">
        <f>Insumos!C30</f>
        <v>2.3386999999999998</v>
      </c>
      <c r="F53" s="964"/>
      <c r="G53" s="958">
        <f t="shared" si="2"/>
        <v>8.9600000000000009</v>
      </c>
      <c r="H53" s="958"/>
    </row>
    <row r="54" spans="1:8">
      <c r="A54" s="398"/>
      <c r="B54" s="230" t="s">
        <v>558</v>
      </c>
      <c r="C54" s="231" t="s">
        <v>97</v>
      </c>
      <c r="D54" s="401">
        <v>0.03</v>
      </c>
      <c r="E54" s="964">
        <f>Insumos!C31</f>
        <v>81.900000000000006</v>
      </c>
      <c r="F54" s="964"/>
      <c r="G54" s="958">
        <f t="shared" si="2"/>
        <v>2.46</v>
      </c>
      <c r="H54" s="958"/>
    </row>
    <row r="55" spans="1:8">
      <c r="A55" s="398"/>
      <c r="B55" s="230" t="s">
        <v>559</v>
      </c>
      <c r="C55" s="231" t="s">
        <v>16</v>
      </c>
      <c r="D55" s="401">
        <v>0.27500000000000002</v>
      </c>
      <c r="E55" s="964">
        <f>Insumos!C32</f>
        <v>6.0242000000000004</v>
      </c>
      <c r="F55" s="964"/>
      <c r="G55" s="958">
        <f t="shared" si="2"/>
        <v>1.66</v>
      </c>
      <c r="H55" s="958"/>
    </row>
    <row r="56" spans="1:8">
      <c r="A56" s="398"/>
      <c r="B56" s="230" t="s">
        <v>560</v>
      </c>
      <c r="C56" s="231" t="s">
        <v>14</v>
      </c>
      <c r="D56" s="401">
        <v>0.09</v>
      </c>
      <c r="E56" s="964">
        <f>Insumos!C33</f>
        <v>4.1040999999999999</v>
      </c>
      <c r="F56" s="964"/>
      <c r="G56" s="958">
        <f t="shared" si="2"/>
        <v>0.37</v>
      </c>
      <c r="H56" s="958"/>
    </row>
    <row r="57" spans="1:8" ht="32.1" customHeight="1">
      <c r="A57" s="398"/>
      <c r="B57" s="230" t="s">
        <v>561</v>
      </c>
      <c r="C57" s="231" t="s">
        <v>14</v>
      </c>
      <c r="D57" s="401">
        <v>0.03</v>
      </c>
      <c r="E57" s="964">
        <f>Insumos!C34</f>
        <v>1.5469999999999999</v>
      </c>
      <c r="F57" s="964"/>
      <c r="G57" s="958">
        <f t="shared" si="2"/>
        <v>0.05</v>
      </c>
      <c r="H57" s="958"/>
    </row>
    <row r="58" spans="1:8" ht="32.1" customHeight="1">
      <c r="A58" s="398"/>
      <c r="B58" s="230" t="s">
        <v>562</v>
      </c>
      <c r="C58" s="231" t="s">
        <v>14</v>
      </c>
      <c r="D58" s="401">
        <v>0.06</v>
      </c>
      <c r="E58" s="964">
        <f>Insumos!C35</f>
        <v>2.0202000000000004</v>
      </c>
      <c r="F58" s="964"/>
      <c r="G58" s="958">
        <f t="shared" si="2"/>
        <v>0.12</v>
      </c>
      <c r="H58" s="958"/>
    </row>
    <row r="59" spans="1:8">
      <c r="A59" s="398"/>
      <c r="B59" s="230" t="s">
        <v>563</v>
      </c>
      <c r="C59" s="231" t="s">
        <v>14</v>
      </c>
      <c r="D59" s="401">
        <v>0.03</v>
      </c>
      <c r="E59" s="964">
        <f>Insumos!C36</f>
        <v>6.5429000000000004</v>
      </c>
      <c r="F59" s="964"/>
      <c r="G59" s="958">
        <f t="shared" si="2"/>
        <v>0.2</v>
      </c>
      <c r="H59" s="958"/>
    </row>
    <row r="60" spans="1:8" ht="32.1" customHeight="1">
      <c r="A60" s="398"/>
      <c r="B60" s="230" t="s">
        <v>564</v>
      </c>
      <c r="C60" s="231" t="s">
        <v>14</v>
      </c>
      <c r="D60" s="401">
        <v>0.03</v>
      </c>
      <c r="E60" s="964">
        <f>Insumos!C37</f>
        <v>1.8928</v>
      </c>
      <c r="F60" s="964"/>
      <c r="G60" s="958">
        <f t="shared" si="2"/>
        <v>0.06</v>
      </c>
      <c r="H60" s="958"/>
    </row>
    <row r="61" spans="1:8" ht="22.9" customHeight="1">
      <c r="A61" s="398"/>
      <c r="B61" s="230" t="s">
        <v>565</v>
      </c>
      <c r="C61" s="231" t="s">
        <v>14</v>
      </c>
      <c r="D61" s="401">
        <v>1.53</v>
      </c>
      <c r="E61" s="964">
        <f>Insumos!C38</f>
        <v>12.703600000000002</v>
      </c>
      <c r="F61" s="964"/>
      <c r="G61" s="958">
        <f t="shared" si="2"/>
        <v>19.440000000000001</v>
      </c>
      <c r="H61" s="958"/>
    </row>
    <row r="62" spans="1:8">
      <c r="A62" s="398"/>
      <c r="B62" s="230" t="s">
        <v>566</v>
      </c>
      <c r="C62" s="231" t="s">
        <v>14</v>
      </c>
      <c r="D62" s="401">
        <v>0.03</v>
      </c>
      <c r="E62" s="964">
        <f>Insumos!C39</f>
        <v>5.2143000000000006</v>
      </c>
      <c r="F62" s="964"/>
      <c r="G62" s="958">
        <f t="shared" si="2"/>
        <v>0.16</v>
      </c>
      <c r="H62" s="958"/>
    </row>
    <row r="63" spans="1:8">
      <c r="A63" s="398"/>
      <c r="B63" s="230" t="s">
        <v>567</v>
      </c>
      <c r="C63" s="231" t="s">
        <v>15</v>
      </c>
      <c r="D63" s="401">
        <v>0.31</v>
      </c>
      <c r="E63" s="964">
        <f>Insumos!C40</f>
        <v>6.5975000000000001</v>
      </c>
      <c r="F63" s="964"/>
      <c r="G63" s="958">
        <f t="shared" si="2"/>
        <v>2.0499999999999998</v>
      </c>
      <c r="H63" s="958"/>
    </row>
    <row r="64" spans="1:8">
      <c r="A64" s="398"/>
      <c r="B64" s="230" t="s">
        <v>568</v>
      </c>
      <c r="C64" s="231" t="s">
        <v>15</v>
      </c>
      <c r="D64" s="401">
        <v>0.38</v>
      </c>
      <c r="E64" s="964">
        <f>Insumos!C41</f>
        <v>1.8836999999999999</v>
      </c>
      <c r="F64" s="964"/>
      <c r="G64" s="958">
        <f t="shared" si="2"/>
        <v>0.72</v>
      </c>
      <c r="H64" s="958"/>
    </row>
    <row r="65" spans="1:8" ht="32.1" customHeight="1">
      <c r="A65" s="398"/>
      <c r="B65" s="230" t="s">
        <v>569</v>
      </c>
      <c r="C65" s="231" t="s">
        <v>14</v>
      </c>
      <c r="D65" s="401">
        <v>0.03</v>
      </c>
      <c r="E65" s="964">
        <f>Insumos!C42</f>
        <v>76.44</v>
      </c>
      <c r="F65" s="964"/>
      <c r="G65" s="958">
        <f t="shared" si="2"/>
        <v>2.29</v>
      </c>
      <c r="H65" s="958"/>
    </row>
    <row r="66" spans="1:8" ht="32.1" customHeight="1">
      <c r="A66" s="398"/>
      <c r="B66" s="230" t="s">
        <v>570</v>
      </c>
      <c r="C66" s="231" t="s">
        <v>14</v>
      </c>
      <c r="D66" s="401">
        <v>0.03</v>
      </c>
      <c r="E66" s="964">
        <f>Insumos!C43</f>
        <v>34.316099999999999</v>
      </c>
      <c r="F66" s="964"/>
      <c r="G66" s="958">
        <f t="shared" si="2"/>
        <v>1.03</v>
      </c>
      <c r="H66" s="958"/>
    </row>
    <row r="67" spans="1:8">
      <c r="A67" s="398"/>
      <c r="B67" s="230" t="s">
        <v>571</v>
      </c>
      <c r="C67" s="231" t="s">
        <v>14</v>
      </c>
      <c r="D67" s="401">
        <v>0.03</v>
      </c>
      <c r="E67" s="964">
        <f>Insumos!C44</f>
        <v>21.430500000000002</v>
      </c>
      <c r="F67" s="964"/>
      <c r="G67" s="958">
        <f t="shared" si="2"/>
        <v>0.64</v>
      </c>
      <c r="H67" s="958"/>
    </row>
    <row r="68" spans="1:8">
      <c r="A68" s="398"/>
      <c r="B68" s="230" t="s">
        <v>572</v>
      </c>
      <c r="C68" s="231" t="s">
        <v>14</v>
      </c>
      <c r="D68" s="401">
        <v>0.03</v>
      </c>
      <c r="E68" s="964">
        <f>Insumos!C45</f>
        <v>175.02940000000001</v>
      </c>
      <c r="F68" s="964"/>
      <c r="G68" s="958">
        <f t="shared" si="2"/>
        <v>5.25</v>
      </c>
      <c r="H68" s="958"/>
    </row>
    <row r="69" spans="1:8" ht="32.1" customHeight="1">
      <c r="A69" s="398"/>
      <c r="B69" s="230" t="s">
        <v>573</v>
      </c>
      <c r="C69" s="231" t="s">
        <v>14</v>
      </c>
      <c r="D69" s="401">
        <v>0.15</v>
      </c>
      <c r="E69" s="964">
        <f>Insumos!C46</f>
        <v>3.1031000000000004</v>
      </c>
      <c r="F69" s="964"/>
      <c r="G69" s="958">
        <f t="shared" si="2"/>
        <v>0.47</v>
      </c>
      <c r="H69" s="958"/>
    </row>
    <row r="70" spans="1:8">
      <c r="A70" s="398"/>
      <c r="B70" s="230" t="s">
        <v>574</v>
      </c>
      <c r="C70" s="231" t="s">
        <v>14</v>
      </c>
      <c r="D70" s="401">
        <v>0.14000000000000001</v>
      </c>
      <c r="E70" s="964">
        <f>Insumos!C47</f>
        <v>1.5834000000000001</v>
      </c>
      <c r="F70" s="964"/>
      <c r="G70" s="958">
        <f t="shared" si="2"/>
        <v>0.22</v>
      </c>
      <c r="H70" s="958"/>
    </row>
    <row r="71" spans="1:8" ht="32.1" customHeight="1">
      <c r="A71" s="398"/>
      <c r="B71" s="230" t="s">
        <v>575</v>
      </c>
      <c r="C71" s="231" t="s">
        <v>14</v>
      </c>
      <c r="D71" s="401">
        <v>0.03</v>
      </c>
      <c r="E71" s="964">
        <f>Insumos!C48</f>
        <v>27.3</v>
      </c>
      <c r="F71" s="964"/>
      <c r="G71" s="958">
        <f t="shared" si="2"/>
        <v>0.82</v>
      </c>
      <c r="H71" s="958"/>
    </row>
    <row r="72" spans="1:8">
      <c r="A72" s="398"/>
      <c r="B72" s="230" t="s">
        <v>513</v>
      </c>
      <c r="C72" s="231" t="s">
        <v>112</v>
      </c>
      <c r="D72" s="401">
        <v>0.16</v>
      </c>
      <c r="E72" s="964">
        <f>Insumos!C49</f>
        <v>12.2759</v>
      </c>
      <c r="F72" s="964"/>
      <c r="G72" s="958">
        <f t="shared" si="2"/>
        <v>1.96</v>
      </c>
      <c r="H72" s="958"/>
    </row>
    <row r="73" spans="1:8">
      <c r="A73" s="398"/>
      <c r="B73" s="230" t="s">
        <v>517</v>
      </c>
      <c r="C73" s="231" t="s">
        <v>112</v>
      </c>
      <c r="D73" s="401">
        <v>0.16</v>
      </c>
      <c r="E73" s="964">
        <f>Insumos!C50</f>
        <v>8.6722999999999999</v>
      </c>
      <c r="F73" s="964"/>
      <c r="G73" s="958">
        <f t="shared" si="2"/>
        <v>1.39</v>
      </c>
      <c r="H73" s="958"/>
    </row>
    <row r="74" spans="1:8">
      <c r="A74" s="398"/>
      <c r="B74" s="230" t="s">
        <v>576</v>
      </c>
      <c r="C74" s="231" t="s">
        <v>112</v>
      </c>
      <c r="D74" s="401">
        <v>0.36</v>
      </c>
      <c r="E74" s="964">
        <f>Insumos!C51</f>
        <v>8.6722999999999999</v>
      </c>
      <c r="F74" s="964"/>
      <c r="G74" s="958">
        <f t="shared" si="2"/>
        <v>3.12</v>
      </c>
      <c r="H74" s="958"/>
    </row>
    <row r="75" spans="1:8">
      <c r="A75" s="398"/>
      <c r="B75" s="230" t="s">
        <v>535</v>
      </c>
      <c r="C75" s="231" t="s">
        <v>112</v>
      </c>
      <c r="D75" s="401">
        <v>1.982</v>
      </c>
      <c r="E75" s="964">
        <f>Insumos!C52</f>
        <v>6.4064000000000005</v>
      </c>
      <c r="F75" s="964"/>
      <c r="G75" s="958">
        <f t="shared" si="2"/>
        <v>12.7</v>
      </c>
      <c r="H75" s="958"/>
    </row>
    <row r="76" spans="1:8">
      <c r="A76" s="398"/>
      <c r="B76" s="230" t="s">
        <v>508</v>
      </c>
      <c r="C76" s="231" t="s">
        <v>112</v>
      </c>
      <c r="D76" s="401">
        <v>0.95499990000000001</v>
      </c>
      <c r="E76" s="964">
        <f>Insumos!C53</f>
        <v>8.6722999999999999</v>
      </c>
      <c r="F76" s="964"/>
      <c r="G76" s="958">
        <f t="shared" si="2"/>
        <v>8.2799999999999994</v>
      </c>
      <c r="H76" s="958"/>
    </row>
    <row r="77" spans="1:8">
      <c r="A77" s="398"/>
      <c r="B77" s="955" t="s">
        <v>536</v>
      </c>
      <c r="C77" s="955"/>
      <c r="D77" s="955"/>
      <c r="E77" s="389"/>
      <c r="F77" s="409"/>
      <c r="G77" s="410"/>
      <c r="H77" s="328">
        <f>SUM(G41:H71)</f>
        <v>104.83</v>
      </c>
    </row>
    <row r="78" spans="1:8">
      <c r="A78" s="398"/>
      <c r="B78" s="955" t="s">
        <v>537</v>
      </c>
      <c r="C78" s="955"/>
      <c r="D78" s="955"/>
      <c r="E78" s="389"/>
      <c r="F78" s="409"/>
      <c r="G78" s="410"/>
      <c r="H78" s="328">
        <f>SUM(G72:H76)</f>
        <v>27.449999999999996</v>
      </c>
    </row>
    <row r="79" spans="1:8">
      <c r="A79" s="398"/>
      <c r="B79" s="955" t="s">
        <v>1937</v>
      </c>
      <c r="C79" s="955"/>
      <c r="D79" s="955"/>
      <c r="E79" s="389"/>
      <c r="F79" s="409"/>
      <c r="G79" s="410"/>
      <c r="H79" s="328">
        <f>SUM(H77:H78)</f>
        <v>132.28</v>
      </c>
    </row>
    <row r="80" spans="1:8">
      <c r="A80" s="398"/>
      <c r="B80" s="955" t="s">
        <v>538</v>
      </c>
      <c r="C80" s="955"/>
      <c r="D80" s="955"/>
      <c r="E80" s="389"/>
      <c r="F80" s="411" t="s">
        <v>539</v>
      </c>
      <c r="G80" s="410"/>
      <c r="H80" s="328">
        <f>ROUND(H79*F80,2)</f>
        <v>33.020000000000003</v>
      </c>
    </row>
    <row r="81" spans="1:10">
      <c r="A81" s="398"/>
      <c r="B81" s="956" t="s">
        <v>540</v>
      </c>
      <c r="C81" s="956"/>
      <c r="D81" s="956"/>
      <c r="E81" s="740"/>
      <c r="F81" s="768"/>
      <c r="G81" s="769"/>
      <c r="H81" s="771">
        <f>SUM(H79:H80)</f>
        <v>165.3</v>
      </c>
    </row>
    <row r="82" spans="1:10" s="579" customFormat="1">
      <c r="A82" s="601"/>
      <c r="B82" s="780"/>
      <c r="C82" s="780"/>
      <c r="D82" s="780"/>
      <c r="E82" s="740"/>
      <c r="F82" s="768"/>
      <c r="G82" s="769"/>
      <c r="H82" s="771"/>
      <c r="I82" s="400"/>
      <c r="J82" s="404"/>
    </row>
    <row r="83" spans="1:10" s="406" customFormat="1" ht="15">
      <c r="A83" s="403" t="s">
        <v>2296</v>
      </c>
      <c r="B83" s="961" t="s">
        <v>577</v>
      </c>
      <c r="C83" s="961"/>
      <c r="D83" s="961"/>
      <c r="E83" s="961"/>
      <c r="F83" s="961"/>
      <c r="H83" s="428" t="s">
        <v>14</v>
      </c>
      <c r="I83" s="407"/>
      <c r="J83" s="408"/>
    </row>
    <row r="84" spans="1:10">
      <c r="A84" s="398"/>
      <c r="B84" s="230" t="s">
        <v>578</v>
      </c>
      <c r="C84" s="231" t="s">
        <v>14</v>
      </c>
      <c r="D84" s="401">
        <v>1</v>
      </c>
      <c r="E84" s="964">
        <f>Insumos!C54</f>
        <v>67.758600000000001</v>
      </c>
      <c r="F84" s="964"/>
      <c r="G84" s="958">
        <f>ROUND(D84*E84,2)</f>
        <v>67.760000000000005</v>
      </c>
      <c r="H84" s="958"/>
    </row>
    <row r="85" spans="1:10">
      <c r="A85" s="398"/>
      <c r="B85" s="230" t="s">
        <v>568</v>
      </c>
      <c r="C85" s="231" t="s">
        <v>15</v>
      </c>
      <c r="D85" s="401">
        <v>40.004999999999903</v>
      </c>
      <c r="E85" s="964">
        <f>Insumos!C55</f>
        <v>1.8836999999999999</v>
      </c>
      <c r="F85" s="964"/>
      <c r="G85" s="958">
        <f>ROUND(D85*E85,2)</f>
        <v>75.36</v>
      </c>
      <c r="H85" s="958"/>
    </row>
    <row r="86" spans="1:10">
      <c r="A86" s="398"/>
      <c r="B86" s="230" t="s">
        <v>517</v>
      </c>
      <c r="C86" s="231" t="s">
        <v>112</v>
      </c>
      <c r="D86" s="401">
        <v>6.0049999999999004</v>
      </c>
      <c r="E86" s="964">
        <f>Insumos!C56</f>
        <v>8.6722999999999999</v>
      </c>
      <c r="F86" s="964"/>
      <c r="G86" s="958">
        <f>ROUND(D86*E86,2)</f>
        <v>52.08</v>
      </c>
      <c r="H86" s="958"/>
    </row>
    <row r="87" spans="1:10">
      <c r="A87" s="398"/>
      <c r="B87" s="230" t="s">
        <v>516</v>
      </c>
      <c r="C87" s="231" t="s">
        <v>112</v>
      </c>
      <c r="D87" s="401">
        <v>2.0009999999999999</v>
      </c>
      <c r="E87" s="964">
        <f>Insumos!C57</f>
        <v>7.0706999999999995</v>
      </c>
      <c r="F87" s="964"/>
      <c r="G87" s="958">
        <f>ROUND(D87*E87,2)</f>
        <v>14.15</v>
      </c>
      <c r="H87" s="958"/>
    </row>
    <row r="88" spans="1:10">
      <c r="A88" s="398"/>
      <c r="B88" s="955" t="s">
        <v>536</v>
      </c>
      <c r="C88" s="955"/>
      <c r="D88" s="955"/>
      <c r="E88" s="389"/>
      <c r="F88" s="409"/>
      <c r="G88" s="410"/>
      <c r="H88" s="249">
        <f>SUM(G84:H85)</f>
        <v>143.12</v>
      </c>
    </row>
    <row r="89" spans="1:10">
      <c r="A89" s="398"/>
      <c r="B89" s="955" t="s">
        <v>537</v>
      </c>
      <c r="C89" s="955"/>
      <c r="D89" s="955"/>
      <c r="E89" s="389"/>
      <c r="F89" s="409"/>
      <c r="G89" s="410"/>
      <c r="H89" s="249">
        <f>SUM(G86:H87)</f>
        <v>66.23</v>
      </c>
    </row>
    <row r="90" spans="1:10">
      <c r="A90" s="398"/>
      <c r="B90" s="955" t="s">
        <v>1937</v>
      </c>
      <c r="C90" s="955"/>
      <c r="D90" s="955"/>
      <c r="E90" s="389"/>
      <c r="F90" s="409"/>
      <c r="G90" s="410"/>
      <c r="H90" s="328">
        <f>SUM(H88:H89)</f>
        <v>209.35000000000002</v>
      </c>
    </row>
    <row r="91" spans="1:10">
      <c r="A91" s="398"/>
      <c r="B91" s="955" t="s">
        <v>538</v>
      </c>
      <c r="C91" s="955"/>
      <c r="D91" s="955"/>
      <c r="E91" s="389"/>
      <c r="F91" s="411" t="s">
        <v>539</v>
      </c>
      <c r="G91" s="410"/>
      <c r="H91" s="249">
        <f>ROUND(H90*F91,2)</f>
        <v>52.25</v>
      </c>
    </row>
    <row r="92" spans="1:10">
      <c r="A92" s="398"/>
      <c r="B92" s="956" t="s">
        <v>540</v>
      </c>
      <c r="C92" s="956"/>
      <c r="D92" s="956"/>
      <c r="E92" s="740"/>
      <c r="F92" s="768"/>
      <c r="G92" s="769"/>
      <c r="H92" s="771">
        <f>SUM(H90:H91)</f>
        <v>261.60000000000002</v>
      </c>
    </row>
    <row r="93" spans="1:10" s="579" customFormat="1">
      <c r="A93" s="601"/>
      <c r="B93" s="780"/>
      <c r="C93" s="780"/>
      <c r="D93" s="780"/>
      <c r="E93" s="740"/>
      <c r="F93" s="768"/>
      <c r="G93" s="769"/>
      <c r="H93" s="771"/>
      <c r="I93" s="400"/>
      <c r="J93" s="404"/>
    </row>
    <row r="94" spans="1:10" s="406" customFormat="1" ht="22.15" customHeight="1">
      <c r="A94" s="403" t="s">
        <v>2297</v>
      </c>
      <c r="B94" s="961" t="s">
        <v>579</v>
      </c>
      <c r="C94" s="961"/>
      <c r="D94" s="961"/>
      <c r="E94" s="961"/>
      <c r="F94" s="961"/>
      <c r="H94" s="403" t="s">
        <v>14</v>
      </c>
      <c r="I94" s="407"/>
      <c r="J94" s="408"/>
    </row>
    <row r="95" spans="1:10">
      <c r="A95" s="398"/>
      <c r="B95" s="230" t="s">
        <v>580</v>
      </c>
      <c r="C95" s="231" t="s">
        <v>14</v>
      </c>
      <c r="D95" s="401">
        <v>1</v>
      </c>
      <c r="E95" s="964">
        <f>Insumos!C58</f>
        <v>0.43680000000000002</v>
      </c>
      <c r="F95" s="964"/>
      <c r="G95" s="958">
        <f t="shared" ref="G95:G108" si="3">ROUND(D95*E95,2)</f>
        <v>0.44</v>
      </c>
      <c r="H95" s="958"/>
    </row>
    <row r="96" spans="1:10">
      <c r="A96" s="398"/>
      <c r="B96" s="230" t="s">
        <v>581</v>
      </c>
      <c r="C96" s="231" t="s">
        <v>14</v>
      </c>
      <c r="D96" s="401">
        <v>4</v>
      </c>
      <c r="E96" s="964">
        <f>Insumos!C59</f>
        <v>3.6673000000000004</v>
      </c>
      <c r="F96" s="964"/>
      <c r="G96" s="958">
        <f t="shared" si="3"/>
        <v>14.67</v>
      </c>
      <c r="H96" s="958"/>
    </row>
    <row r="97" spans="1:8">
      <c r="A97" s="398"/>
      <c r="B97" s="230" t="s">
        <v>582</v>
      </c>
      <c r="C97" s="231" t="s">
        <v>14</v>
      </c>
      <c r="D97" s="401">
        <v>4</v>
      </c>
      <c r="E97" s="964">
        <f>Insumos!C60</f>
        <v>1.365</v>
      </c>
      <c r="F97" s="964"/>
      <c r="G97" s="958">
        <f t="shared" si="3"/>
        <v>5.46</v>
      </c>
      <c r="H97" s="958"/>
    </row>
    <row r="98" spans="1:8">
      <c r="A98" s="398"/>
      <c r="B98" s="230" t="s">
        <v>583</v>
      </c>
      <c r="C98" s="231" t="s">
        <v>14</v>
      </c>
      <c r="D98" s="401">
        <v>3</v>
      </c>
      <c r="E98" s="964">
        <f>Insumos!C61</f>
        <v>5.7603</v>
      </c>
      <c r="F98" s="964"/>
      <c r="G98" s="958">
        <f t="shared" si="3"/>
        <v>17.28</v>
      </c>
      <c r="H98" s="958"/>
    </row>
    <row r="99" spans="1:8" ht="22.9" customHeight="1">
      <c r="A99" s="398"/>
      <c r="B99" s="230" t="s">
        <v>584</v>
      </c>
      <c r="C99" s="231" t="s">
        <v>15</v>
      </c>
      <c r="D99" s="401">
        <v>1</v>
      </c>
      <c r="E99" s="964">
        <f>Insumos!C62</f>
        <v>5.8148999999999997</v>
      </c>
      <c r="F99" s="964"/>
      <c r="G99" s="958">
        <f t="shared" si="3"/>
        <v>5.81</v>
      </c>
      <c r="H99" s="958"/>
    </row>
    <row r="100" spans="1:8">
      <c r="A100" s="398"/>
      <c r="B100" s="230" t="s">
        <v>585</v>
      </c>
      <c r="C100" s="231" t="s">
        <v>15</v>
      </c>
      <c r="D100" s="401">
        <v>12</v>
      </c>
      <c r="E100" s="964">
        <f>Insumos!C63</f>
        <v>1.4378000000000002</v>
      </c>
      <c r="F100" s="964"/>
      <c r="G100" s="958">
        <f t="shared" si="3"/>
        <v>17.25</v>
      </c>
      <c r="H100" s="958"/>
    </row>
    <row r="101" spans="1:8">
      <c r="A101" s="398"/>
      <c r="B101" s="230" t="s">
        <v>586</v>
      </c>
      <c r="C101" s="231" t="s">
        <v>14</v>
      </c>
      <c r="D101" s="401">
        <v>4</v>
      </c>
      <c r="E101" s="964">
        <f>Insumos!C64</f>
        <v>11.4114</v>
      </c>
      <c r="F101" s="964"/>
      <c r="G101" s="958">
        <f t="shared" si="3"/>
        <v>45.65</v>
      </c>
      <c r="H101" s="958"/>
    </row>
    <row r="102" spans="1:8">
      <c r="A102" s="398"/>
      <c r="B102" s="230" t="s">
        <v>587</v>
      </c>
      <c r="C102" s="231" t="s">
        <v>14</v>
      </c>
      <c r="D102" s="401">
        <v>2</v>
      </c>
      <c r="E102" s="964">
        <f>Insumos!C65</f>
        <v>4.55</v>
      </c>
      <c r="F102" s="964"/>
      <c r="G102" s="958">
        <f t="shared" si="3"/>
        <v>9.1</v>
      </c>
      <c r="H102" s="958"/>
    </row>
    <row r="103" spans="1:8" ht="32.1" customHeight="1">
      <c r="A103" s="398"/>
      <c r="B103" s="230" t="s">
        <v>588</v>
      </c>
      <c r="C103" s="231" t="s">
        <v>15</v>
      </c>
      <c r="D103" s="401">
        <v>20</v>
      </c>
      <c r="E103" s="964">
        <f>Insumos!C66</f>
        <v>5.5145999999999997</v>
      </c>
      <c r="F103" s="964"/>
      <c r="G103" s="958">
        <f t="shared" si="3"/>
        <v>110.29</v>
      </c>
      <c r="H103" s="958"/>
    </row>
    <row r="104" spans="1:8" ht="32.1" customHeight="1">
      <c r="A104" s="398"/>
      <c r="B104" s="230" t="s">
        <v>589</v>
      </c>
      <c r="C104" s="231" t="s">
        <v>15</v>
      </c>
      <c r="D104" s="401">
        <v>6</v>
      </c>
      <c r="E104" s="964">
        <f>Insumos!C67</f>
        <v>17.735900000000001</v>
      </c>
      <c r="F104" s="964"/>
      <c r="G104" s="958">
        <f t="shared" si="3"/>
        <v>106.42</v>
      </c>
      <c r="H104" s="958"/>
    </row>
    <row r="105" spans="1:8" ht="32.1" customHeight="1">
      <c r="A105" s="398"/>
      <c r="B105" s="230" t="s">
        <v>590</v>
      </c>
      <c r="C105" s="231" t="s">
        <v>15</v>
      </c>
      <c r="D105" s="401">
        <v>1.9966999999999999</v>
      </c>
      <c r="E105" s="964">
        <f>Insumos!C68</f>
        <v>39.2301</v>
      </c>
      <c r="F105" s="964"/>
      <c r="G105" s="958">
        <f t="shared" si="3"/>
        <v>78.33</v>
      </c>
      <c r="H105" s="958"/>
    </row>
    <row r="106" spans="1:8" ht="21" customHeight="1">
      <c r="A106" s="398"/>
      <c r="B106" s="230" t="s">
        <v>591</v>
      </c>
      <c r="C106" s="231" t="s">
        <v>14</v>
      </c>
      <c r="D106" s="401">
        <v>1</v>
      </c>
      <c r="E106" s="964">
        <f>Insumos!C69</f>
        <v>44.134999999999998</v>
      </c>
      <c r="F106" s="964"/>
      <c r="G106" s="958">
        <f t="shared" si="3"/>
        <v>44.14</v>
      </c>
      <c r="H106" s="958"/>
    </row>
    <row r="107" spans="1:8">
      <c r="A107" s="398"/>
      <c r="B107" s="230" t="s">
        <v>513</v>
      </c>
      <c r="C107" s="231" t="s">
        <v>112</v>
      </c>
      <c r="D107" s="401">
        <v>24.001000000000001</v>
      </c>
      <c r="E107" s="959">
        <f>Insumos!C70</f>
        <v>12.2759</v>
      </c>
      <c r="F107" s="959"/>
      <c r="G107" s="958">
        <f t="shared" si="3"/>
        <v>294.63</v>
      </c>
      <c r="H107" s="958"/>
    </row>
    <row r="108" spans="1:8">
      <c r="A108" s="398"/>
      <c r="B108" s="230" t="s">
        <v>535</v>
      </c>
      <c r="C108" s="231" t="s">
        <v>112</v>
      </c>
      <c r="D108" s="401">
        <v>24.02</v>
      </c>
      <c r="E108" s="959">
        <f>Insumos!$C$71</f>
        <v>6.4064000000000005</v>
      </c>
      <c r="F108" s="959"/>
      <c r="G108" s="958">
        <f t="shared" si="3"/>
        <v>153.88</v>
      </c>
      <c r="H108" s="958"/>
    </row>
    <row r="109" spans="1:8">
      <c r="A109" s="398"/>
      <c r="B109" s="955" t="s">
        <v>536</v>
      </c>
      <c r="C109" s="955"/>
      <c r="D109" s="955"/>
      <c r="E109" s="389"/>
      <c r="F109" s="409"/>
      <c r="G109" s="410"/>
      <c r="H109" s="249">
        <f>SUM(G95:H106)</f>
        <v>454.84</v>
      </c>
    </row>
    <row r="110" spans="1:8">
      <c r="A110" s="398"/>
      <c r="B110" s="955" t="s">
        <v>537</v>
      </c>
      <c r="C110" s="955"/>
      <c r="D110" s="955"/>
      <c r="E110" s="389"/>
      <c r="F110" s="409"/>
      <c r="G110" s="410"/>
      <c r="H110" s="249">
        <f>SUM(G107:H108)</f>
        <v>448.51</v>
      </c>
    </row>
    <row r="111" spans="1:8">
      <c r="A111" s="398"/>
      <c r="B111" s="955" t="s">
        <v>1937</v>
      </c>
      <c r="C111" s="955"/>
      <c r="D111" s="955"/>
      <c r="E111" s="389"/>
      <c r="F111" s="409"/>
      <c r="G111" s="410"/>
      <c r="H111" s="328">
        <f>SUM(H109:H110)</f>
        <v>903.34999999999991</v>
      </c>
    </row>
    <row r="112" spans="1:8">
      <c r="A112" s="398"/>
      <c r="B112" s="955" t="s">
        <v>538</v>
      </c>
      <c r="C112" s="955"/>
      <c r="D112" s="955"/>
      <c r="E112" s="389"/>
      <c r="F112" s="411" t="s">
        <v>539</v>
      </c>
      <c r="G112" s="410"/>
      <c r="H112" s="249">
        <f>ROUND(H111*F112,2)</f>
        <v>225.48</v>
      </c>
    </row>
    <row r="113" spans="1:10">
      <c r="A113" s="398"/>
      <c r="B113" s="956" t="s">
        <v>540</v>
      </c>
      <c r="C113" s="956"/>
      <c r="D113" s="956"/>
      <c r="E113" s="740"/>
      <c r="F113" s="768"/>
      <c r="G113" s="769"/>
      <c r="H113" s="771">
        <f>SUM(H111:H112)</f>
        <v>1128.83</v>
      </c>
    </row>
    <row r="114" spans="1:10" s="579" customFormat="1">
      <c r="A114" s="601"/>
      <c r="B114" s="780"/>
      <c r="C114" s="780"/>
      <c r="D114" s="780"/>
      <c r="E114" s="740"/>
      <c r="F114" s="768"/>
      <c r="G114" s="769"/>
      <c r="H114" s="771"/>
      <c r="I114" s="400"/>
      <c r="J114" s="404"/>
    </row>
    <row r="115" spans="1:10" s="406" customFormat="1" ht="25.9" customHeight="1">
      <c r="A115" s="403" t="s">
        <v>2298</v>
      </c>
      <c r="B115" s="961" t="s">
        <v>1492</v>
      </c>
      <c r="C115" s="961"/>
      <c r="D115" s="961"/>
      <c r="E115" s="961"/>
      <c r="F115" s="961"/>
      <c r="H115" s="403" t="s">
        <v>13</v>
      </c>
      <c r="I115" s="407"/>
      <c r="J115" s="408"/>
    </row>
    <row r="116" spans="1:10">
      <c r="A116" s="398"/>
      <c r="B116" s="230" t="s">
        <v>592</v>
      </c>
      <c r="C116" s="231" t="s">
        <v>16</v>
      </c>
      <c r="D116" s="401">
        <v>0.1</v>
      </c>
      <c r="E116" s="959">
        <f>Insumos!C72</f>
        <v>9.7825000000000006</v>
      </c>
      <c r="F116" s="959"/>
      <c r="G116" s="958">
        <f t="shared" ref="G116:G124" si="4">ROUND(D116*E116,2)</f>
        <v>0.98</v>
      </c>
      <c r="H116" s="958"/>
    </row>
    <row r="117" spans="1:10" ht="32.1" customHeight="1">
      <c r="A117" s="398"/>
      <c r="B117" s="230" t="s">
        <v>531</v>
      </c>
      <c r="C117" s="231" t="s">
        <v>15</v>
      </c>
      <c r="D117" s="401">
        <v>0.5</v>
      </c>
      <c r="E117" s="959">
        <f>Insumos!C73</f>
        <v>4.5409000000000006</v>
      </c>
      <c r="F117" s="959"/>
      <c r="G117" s="958">
        <f t="shared" si="4"/>
        <v>2.27</v>
      </c>
      <c r="H117" s="958"/>
    </row>
    <row r="118" spans="1:10">
      <c r="A118" s="398"/>
      <c r="B118" s="230" t="s">
        <v>533</v>
      </c>
      <c r="C118" s="231" t="s">
        <v>16</v>
      </c>
      <c r="D118" s="401">
        <v>0.1</v>
      </c>
      <c r="E118" s="959">
        <f>Insumos!C74</f>
        <v>6.0606</v>
      </c>
      <c r="F118" s="959"/>
      <c r="G118" s="958">
        <f t="shared" si="4"/>
        <v>0.61</v>
      </c>
      <c r="H118" s="958"/>
    </row>
    <row r="119" spans="1:10" ht="32.1" customHeight="1">
      <c r="A119" s="398"/>
      <c r="B119" s="230" t="s">
        <v>593</v>
      </c>
      <c r="C119" s="231" t="s">
        <v>15</v>
      </c>
      <c r="D119" s="401">
        <v>0.16895652173913059</v>
      </c>
      <c r="E119" s="959">
        <f>Insumos!C75</f>
        <v>5.3417000000000003</v>
      </c>
      <c r="F119" s="959"/>
      <c r="G119" s="958">
        <f t="shared" si="4"/>
        <v>0.9</v>
      </c>
      <c r="H119" s="958"/>
    </row>
    <row r="120" spans="1:10" ht="32.1" customHeight="1">
      <c r="A120" s="398"/>
      <c r="B120" s="230" t="s">
        <v>594</v>
      </c>
      <c r="C120" s="231" t="s">
        <v>13</v>
      </c>
      <c r="D120" s="401">
        <v>0.498</v>
      </c>
      <c r="E120" s="959">
        <f>Insumos!C76</f>
        <v>3.5945000000000005</v>
      </c>
      <c r="F120" s="959"/>
      <c r="G120" s="958">
        <f t="shared" si="4"/>
        <v>1.79</v>
      </c>
      <c r="H120" s="958"/>
    </row>
    <row r="121" spans="1:10" ht="32.1" customHeight="1">
      <c r="A121" s="398"/>
      <c r="B121" s="230" t="s">
        <v>595</v>
      </c>
      <c r="C121" s="231" t="s">
        <v>15</v>
      </c>
      <c r="D121" s="401">
        <v>0.2</v>
      </c>
      <c r="E121" s="959">
        <f>Insumos!C77</f>
        <v>10.283000000000001</v>
      </c>
      <c r="F121" s="959"/>
      <c r="G121" s="958">
        <f t="shared" si="4"/>
        <v>2.06</v>
      </c>
      <c r="H121" s="958"/>
    </row>
    <row r="122" spans="1:10">
      <c r="A122" s="398"/>
      <c r="B122" s="230" t="s">
        <v>1491</v>
      </c>
      <c r="C122" s="231" t="s">
        <v>13</v>
      </c>
      <c r="D122" s="401">
        <v>0.5</v>
      </c>
      <c r="E122" s="232"/>
      <c r="F122" s="325">
        <v>5.09</v>
      </c>
      <c r="G122" s="958">
        <f>ROUND(D122*F122,2)</f>
        <v>2.5499999999999998</v>
      </c>
      <c r="H122" s="958"/>
    </row>
    <row r="123" spans="1:10">
      <c r="A123" s="398"/>
      <c r="B123" s="230" t="s">
        <v>535</v>
      </c>
      <c r="C123" s="231" t="s">
        <v>112</v>
      </c>
      <c r="D123" s="401">
        <v>0.3</v>
      </c>
      <c r="E123" s="959">
        <f>Insumos!C78</f>
        <v>6.4064000000000005</v>
      </c>
      <c r="F123" s="959"/>
      <c r="G123" s="958">
        <f>ROUND(D123*E123,2)</f>
        <v>1.92</v>
      </c>
      <c r="H123" s="958"/>
    </row>
    <row r="124" spans="1:10">
      <c r="A124" s="398"/>
      <c r="B124" s="230" t="s">
        <v>511</v>
      </c>
      <c r="C124" s="231" t="s">
        <v>112</v>
      </c>
      <c r="D124" s="401">
        <v>0.3</v>
      </c>
      <c r="E124" s="959">
        <f>Insumos!C79</f>
        <v>8.5449000000000002</v>
      </c>
      <c r="F124" s="959"/>
      <c r="G124" s="958">
        <f t="shared" si="4"/>
        <v>2.56</v>
      </c>
      <c r="H124" s="958"/>
    </row>
    <row r="125" spans="1:10">
      <c r="A125" s="398"/>
      <c r="B125" s="955" t="s">
        <v>536</v>
      </c>
      <c r="C125" s="955"/>
      <c r="D125" s="955"/>
      <c r="E125" s="389"/>
      <c r="F125" s="409"/>
      <c r="G125" s="410"/>
      <c r="H125" s="249">
        <f>SUM(G116:H122)</f>
        <v>11.16</v>
      </c>
    </row>
    <row r="126" spans="1:10">
      <c r="A126" s="398"/>
      <c r="B126" s="955" t="s">
        <v>537</v>
      </c>
      <c r="C126" s="955"/>
      <c r="D126" s="955"/>
      <c r="E126" s="389"/>
      <c r="F126" s="409"/>
      <c r="G126" s="410"/>
      <c r="H126" s="249">
        <f>SUM(G123:H124)</f>
        <v>4.4800000000000004</v>
      </c>
    </row>
    <row r="127" spans="1:10">
      <c r="A127" s="398"/>
      <c r="B127" s="955" t="s">
        <v>1937</v>
      </c>
      <c r="C127" s="955"/>
      <c r="D127" s="955"/>
      <c r="E127" s="389"/>
      <c r="F127" s="409"/>
      <c r="G127" s="410"/>
      <c r="H127" s="328">
        <f>SUM(H125:H126)</f>
        <v>15.64</v>
      </c>
      <c r="I127" s="412"/>
    </row>
    <row r="128" spans="1:10">
      <c r="A128" s="398"/>
      <c r="B128" s="955" t="s">
        <v>538</v>
      </c>
      <c r="C128" s="955"/>
      <c r="D128" s="955"/>
      <c r="E128" s="389"/>
      <c r="F128" s="411" t="s">
        <v>539</v>
      </c>
      <c r="G128" s="410"/>
      <c r="H128" s="328">
        <f>ROUND(H127*F128,2)</f>
        <v>3.9</v>
      </c>
      <c r="I128" s="412"/>
    </row>
    <row r="129" spans="1:10">
      <c r="A129" s="398"/>
      <c r="B129" s="956" t="s">
        <v>540</v>
      </c>
      <c r="C129" s="956"/>
      <c r="D129" s="956"/>
      <c r="E129" s="740"/>
      <c r="F129" s="768"/>
      <c r="G129" s="769"/>
      <c r="H129" s="771">
        <f>SUM(H127:H128)</f>
        <v>19.54</v>
      </c>
      <c r="I129" s="412"/>
    </row>
    <row r="130" spans="1:10" s="579" customFormat="1">
      <c r="A130" s="601"/>
      <c r="B130" s="780"/>
      <c r="C130" s="780"/>
      <c r="D130" s="780"/>
      <c r="E130" s="740"/>
      <c r="F130" s="768"/>
      <c r="G130" s="769"/>
      <c r="H130" s="771"/>
      <c r="I130" s="412"/>
      <c r="J130" s="404"/>
    </row>
    <row r="131" spans="1:10" s="406" customFormat="1" ht="27" customHeight="1">
      <c r="A131" s="403" t="s">
        <v>2299</v>
      </c>
      <c r="B131" s="961" t="str">
        <f>'[1]PLANILHA ORÇAMENTARIA'!B25</f>
        <v>LOCAÇÃO DA OBRA, COM USO DE EQUIPAMENTOS TOPOGRÁFICOS, INCLUSIVE TOPOGRAFO E NIVELADOR</v>
      </c>
      <c r="C131" s="961"/>
      <c r="D131" s="961"/>
      <c r="E131" s="961"/>
      <c r="F131" s="961"/>
      <c r="H131" s="403" t="s">
        <v>13</v>
      </c>
      <c r="I131" s="407"/>
      <c r="J131" s="408"/>
    </row>
    <row r="132" spans="1:10" s="579" customFormat="1">
      <c r="A132" s="601"/>
      <c r="B132" s="595" t="s">
        <v>2255</v>
      </c>
      <c r="C132" s="596" t="s">
        <v>16</v>
      </c>
      <c r="D132" s="401">
        <v>0.02</v>
      </c>
      <c r="E132" s="959">
        <f>Insumos!C1217</f>
        <v>10.829000000000001</v>
      </c>
      <c r="F132" s="959"/>
      <c r="G132" s="958">
        <f t="shared" ref="G132:G142" si="5">ROUND(D132*E132,2)</f>
        <v>0.22</v>
      </c>
      <c r="H132" s="958"/>
      <c r="I132" s="400"/>
      <c r="J132" s="404"/>
    </row>
    <row r="133" spans="1:10" s="579" customFormat="1">
      <c r="A133" s="601"/>
      <c r="B133" s="595" t="s">
        <v>2256</v>
      </c>
      <c r="C133" s="596" t="s">
        <v>16</v>
      </c>
      <c r="D133" s="401">
        <v>1.2E-2</v>
      </c>
      <c r="E133" s="959">
        <f>Insumos!C1218</f>
        <v>7.9078999999999997</v>
      </c>
      <c r="F133" s="959"/>
      <c r="G133" s="958">
        <f t="shared" si="5"/>
        <v>0.09</v>
      </c>
      <c r="H133" s="958"/>
      <c r="I133" s="400"/>
      <c r="J133" s="404"/>
    </row>
    <row r="134" spans="1:10" s="579" customFormat="1" ht="32.1" customHeight="1">
      <c r="A134" s="601"/>
      <c r="B134" s="595" t="s">
        <v>2236</v>
      </c>
      <c r="C134" s="596" t="s">
        <v>13</v>
      </c>
      <c r="D134" s="401">
        <v>0.10150000000000001</v>
      </c>
      <c r="E134" s="959">
        <f>Insumos!C1219</f>
        <v>7.0343000000000009</v>
      </c>
      <c r="F134" s="959"/>
      <c r="G134" s="958">
        <f t="shared" si="5"/>
        <v>0.71</v>
      </c>
      <c r="H134" s="958"/>
      <c r="I134" s="400"/>
      <c r="J134" s="404"/>
    </row>
    <row r="135" spans="1:10" s="579" customFormat="1" ht="22.15" customHeight="1">
      <c r="A135" s="601"/>
      <c r="B135" s="595" t="s">
        <v>2257</v>
      </c>
      <c r="C135" s="596" t="s">
        <v>15</v>
      </c>
      <c r="D135" s="401">
        <v>0.04</v>
      </c>
      <c r="E135" s="959">
        <f>Insumos!C1220</f>
        <v>8.9088999999999992</v>
      </c>
      <c r="F135" s="959"/>
      <c r="G135" s="958">
        <f t="shared" si="5"/>
        <v>0.36</v>
      </c>
      <c r="H135" s="958"/>
      <c r="I135" s="400"/>
      <c r="J135" s="404"/>
    </row>
    <row r="136" spans="1:10" s="579" customFormat="1" ht="22.15" customHeight="1">
      <c r="A136" s="601"/>
      <c r="B136" s="595" t="s">
        <v>2258</v>
      </c>
      <c r="C136" s="596" t="s">
        <v>112</v>
      </c>
      <c r="D136" s="401">
        <v>0.1</v>
      </c>
      <c r="E136" s="959">
        <f>Insumos!C1222</f>
        <v>1.1830000000000001</v>
      </c>
      <c r="F136" s="959"/>
      <c r="G136" s="958">
        <f t="shared" si="5"/>
        <v>0.12</v>
      </c>
      <c r="H136" s="958"/>
      <c r="I136" s="400"/>
      <c r="J136" s="404"/>
    </row>
    <row r="137" spans="1:10" s="579" customFormat="1" ht="22.15" customHeight="1">
      <c r="A137" s="601"/>
      <c r="B137" s="320" t="s">
        <v>2259</v>
      </c>
      <c r="C137" s="596" t="s">
        <v>112</v>
      </c>
      <c r="D137" s="401">
        <v>0.1</v>
      </c>
      <c r="E137" s="959">
        <f>Insumos!C1221</f>
        <v>2.0474999999999999</v>
      </c>
      <c r="F137" s="959"/>
      <c r="G137" s="958">
        <f t="shared" si="5"/>
        <v>0.2</v>
      </c>
      <c r="H137" s="958"/>
      <c r="I137" s="400"/>
      <c r="J137" s="404"/>
    </row>
    <row r="138" spans="1:10" s="579" customFormat="1" ht="22.15" customHeight="1">
      <c r="A138" s="601"/>
      <c r="B138" s="595" t="s">
        <v>2260</v>
      </c>
      <c r="C138" s="596" t="s">
        <v>112</v>
      </c>
      <c r="D138" s="401">
        <v>0.6</v>
      </c>
      <c r="E138" s="959">
        <f>Insumos!C1214</f>
        <v>14.068600000000002</v>
      </c>
      <c r="F138" s="959"/>
      <c r="G138" s="958">
        <f>ROUND(D138*E138,2)</f>
        <v>8.44</v>
      </c>
      <c r="H138" s="958"/>
      <c r="I138" s="400"/>
      <c r="J138" s="404"/>
    </row>
    <row r="139" spans="1:10" s="579" customFormat="1" ht="22.15" customHeight="1">
      <c r="A139" s="601"/>
      <c r="B139" s="595" t="s">
        <v>2261</v>
      </c>
      <c r="C139" s="596" t="s">
        <v>112</v>
      </c>
      <c r="D139" s="401">
        <v>0.1</v>
      </c>
      <c r="E139" s="959">
        <f>Insumos!C1215</f>
        <v>18.736900000000002</v>
      </c>
      <c r="F139" s="959"/>
      <c r="G139" s="958">
        <f>ROUND(D139*E139,2)</f>
        <v>1.87</v>
      </c>
      <c r="H139" s="958"/>
      <c r="I139" s="400"/>
      <c r="J139" s="404"/>
    </row>
    <row r="140" spans="1:10" s="579" customFormat="1" ht="22.15" customHeight="1">
      <c r="A140" s="601"/>
      <c r="B140" s="595" t="s">
        <v>2262</v>
      </c>
      <c r="C140" s="596" t="s">
        <v>112</v>
      </c>
      <c r="D140" s="401">
        <v>0.1</v>
      </c>
      <c r="E140" s="959">
        <f>Insumos!C1216</f>
        <v>15.206100000000001</v>
      </c>
      <c r="F140" s="959"/>
      <c r="G140" s="958">
        <f>ROUND(D140*E140,2)</f>
        <v>1.52</v>
      </c>
      <c r="H140" s="958"/>
      <c r="I140" s="400"/>
      <c r="J140" s="404"/>
    </row>
    <row r="141" spans="1:10" s="579" customFormat="1">
      <c r="A141" s="601"/>
      <c r="B141" s="595" t="s">
        <v>509</v>
      </c>
      <c r="C141" s="596" t="s">
        <v>112</v>
      </c>
      <c r="D141" s="401">
        <v>0.13</v>
      </c>
      <c r="E141" s="959">
        <f>Insumos!C1213</f>
        <v>6.4064000000000005</v>
      </c>
      <c r="F141" s="959"/>
      <c r="G141" s="958">
        <f t="shared" si="5"/>
        <v>0.83</v>
      </c>
      <c r="H141" s="958"/>
      <c r="I141" s="400"/>
      <c r="J141" s="404"/>
    </row>
    <row r="142" spans="1:10" s="579" customFormat="1">
      <c r="A142" s="601"/>
      <c r="B142" s="595" t="s">
        <v>508</v>
      </c>
      <c r="C142" s="596" t="s">
        <v>112</v>
      </c>
      <c r="D142" s="401">
        <v>0.13</v>
      </c>
      <c r="E142" s="959">
        <f>Insumos!C132</f>
        <v>8.6722999999999999</v>
      </c>
      <c r="F142" s="959"/>
      <c r="G142" s="958">
        <f t="shared" si="5"/>
        <v>1.1299999999999999</v>
      </c>
      <c r="H142" s="958"/>
      <c r="I142" s="400"/>
      <c r="J142" s="404"/>
    </row>
    <row r="143" spans="1:10">
      <c r="A143" s="398"/>
      <c r="B143" s="955" t="s">
        <v>536</v>
      </c>
      <c r="C143" s="955"/>
      <c r="D143" s="955"/>
      <c r="E143" s="389"/>
      <c r="F143" s="409"/>
      <c r="G143" s="410"/>
      <c r="H143" s="249">
        <f>SUM(G132:H137)</f>
        <v>1.7</v>
      </c>
    </row>
    <row r="144" spans="1:10">
      <c r="A144" s="398"/>
      <c r="B144" s="955" t="s">
        <v>537</v>
      </c>
      <c r="C144" s="955"/>
      <c r="D144" s="955"/>
      <c r="E144" s="389"/>
      <c r="F144" s="409"/>
      <c r="G144" s="410"/>
      <c r="H144" s="249">
        <f>SUM(G138:H142)</f>
        <v>13.79</v>
      </c>
    </row>
    <row r="145" spans="1:10">
      <c r="A145" s="398"/>
      <c r="B145" s="955" t="s">
        <v>1937</v>
      </c>
      <c r="C145" s="955"/>
      <c r="D145" s="955"/>
      <c r="E145" s="389"/>
      <c r="F145" s="409"/>
      <c r="G145" s="410"/>
      <c r="H145" s="328">
        <f>SUM(H143:H144)</f>
        <v>15.489999999999998</v>
      </c>
    </row>
    <row r="146" spans="1:10">
      <c r="A146" s="398"/>
      <c r="B146" s="955" t="s">
        <v>538</v>
      </c>
      <c r="C146" s="955"/>
      <c r="D146" s="955"/>
      <c r="E146" s="389"/>
      <c r="F146" s="411" t="s">
        <v>539</v>
      </c>
      <c r="G146" s="410"/>
      <c r="H146" s="249">
        <f>ROUND(H145*F146,2)</f>
        <v>3.87</v>
      </c>
    </row>
    <row r="147" spans="1:10">
      <c r="A147" s="398"/>
      <c r="B147" s="956" t="s">
        <v>540</v>
      </c>
      <c r="C147" s="956"/>
      <c r="D147" s="956"/>
      <c r="E147" s="740"/>
      <c r="F147" s="768"/>
      <c r="G147" s="769"/>
      <c r="H147" s="771">
        <f>SUM(H145:H146)</f>
        <v>19.36</v>
      </c>
    </row>
    <row r="148" spans="1:10" s="579" customFormat="1">
      <c r="A148" s="601"/>
      <c r="B148" s="780"/>
      <c r="C148" s="780"/>
      <c r="D148" s="780"/>
      <c r="E148" s="740"/>
      <c r="F148" s="768"/>
      <c r="G148" s="769"/>
      <c r="H148" s="771"/>
      <c r="I148" s="400"/>
      <c r="J148" s="404"/>
    </row>
    <row r="149" spans="1:10" s="167" customFormat="1">
      <c r="A149" s="756">
        <v>3</v>
      </c>
      <c r="B149" s="975" t="s">
        <v>1059</v>
      </c>
      <c r="C149" s="975"/>
      <c r="D149" s="975"/>
      <c r="E149" s="975"/>
      <c r="F149" s="975"/>
      <c r="G149" s="762"/>
      <c r="H149" s="763"/>
      <c r="I149" s="326"/>
      <c r="J149" s="344"/>
    </row>
    <row r="150" spans="1:10">
      <c r="A150" s="403" t="s">
        <v>2300</v>
      </c>
      <c r="B150" s="961" t="s">
        <v>1604</v>
      </c>
      <c r="C150" s="961"/>
      <c r="D150" s="961"/>
      <c r="E150" s="961"/>
      <c r="F150" s="961"/>
      <c r="G150" s="402"/>
      <c r="H150" s="403" t="s">
        <v>1579</v>
      </c>
    </row>
    <row r="151" spans="1:10">
      <c r="A151" s="398"/>
      <c r="B151" s="230" t="s">
        <v>1061</v>
      </c>
      <c r="C151" s="231" t="s">
        <v>1113</v>
      </c>
      <c r="D151" s="401">
        <v>165</v>
      </c>
      <c r="E151" s="959">
        <f>Insumos!C1115</f>
        <v>59.15</v>
      </c>
      <c r="F151" s="959"/>
      <c r="G151" s="958">
        <f>ROUND(D151*E151,2)</f>
        <v>9759.75</v>
      </c>
      <c r="H151" s="958"/>
    </row>
    <row r="152" spans="1:10">
      <c r="A152" s="398"/>
      <c r="B152" s="955" t="s">
        <v>536</v>
      </c>
      <c r="C152" s="955"/>
      <c r="D152" s="955"/>
      <c r="E152" s="389"/>
      <c r="F152" s="409"/>
      <c r="G152" s="410"/>
      <c r="H152" s="249">
        <v>0</v>
      </c>
    </row>
    <row r="153" spans="1:10">
      <c r="A153" s="398"/>
      <c r="B153" s="955" t="s">
        <v>537</v>
      </c>
      <c r="C153" s="955"/>
      <c r="D153" s="955"/>
      <c r="E153" s="389"/>
      <c r="F153" s="409"/>
      <c r="G153" s="410"/>
      <c r="H153" s="249">
        <f>SUM(G151)</f>
        <v>9759.75</v>
      </c>
    </row>
    <row r="154" spans="1:10">
      <c r="A154" s="398"/>
      <c r="B154" s="955" t="s">
        <v>1937</v>
      </c>
      <c r="C154" s="955"/>
      <c r="D154" s="955"/>
      <c r="E154" s="389"/>
      <c r="F154" s="409"/>
      <c r="G154" s="422"/>
      <c r="H154" s="328">
        <f>SUM(H152:H153)</f>
        <v>9759.75</v>
      </c>
      <c r="I154" s="412"/>
      <c r="J154" s="433"/>
    </row>
    <row r="155" spans="1:10">
      <c r="A155" s="398"/>
      <c r="B155" s="955" t="s">
        <v>538</v>
      </c>
      <c r="C155" s="955"/>
      <c r="D155" s="955"/>
      <c r="E155" s="389"/>
      <c r="F155" s="411" t="s">
        <v>539</v>
      </c>
      <c r="G155" s="422"/>
      <c r="H155" s="328">
        <f>ROUND(H154*F155,2)</f>
        <v>2436.0300000000002</v>
      </c>
      <c r="I155" s="412"/>
    </row>
    <row r="156" spans="1:10">
      <c r="A156" s="398"/>
      <c r="B156" s="956" t="s">
        <v>540</v>
      </c>
      <c r="C156" s="956"/>
      <c r="D156" s="956"/>
      <c r="E156" s="740"/>
      <c r="F156" s="768"/>
      <c r="G156" s="772"/>
      <c r="H156" s="771">
        <f>SUM(H154:H155)</f>
        <v>12195.78</v>
      </c>
      <c r="I156" s="412"/>
    </row>
    <row r="157" spans="1:10" s="579" customFormat="1">
      <c r="A157" s="601"/>
      <c r="B157" s="780"/>
      <c r="C157" s="780"/>
      <c r="D157" s="780"/>
      <c r="E157" s="740"/>
      <c r="F157" s="768"/>
      <c r="G157" s="772"/>
      <c r="H157" s="771"/>
      <c r="I157" s="412"/>
      <c r="J157" s="404"/>
    </row>
    <row r="158" spans="1:10">
      <c r="A158" s="403" t="s">
        <v>2301</v>
      </c>
      <c r="B158" s="961" t="s">
        <v>2017</v>
      </c>
      <c r="C158" s="961"/>
      <c r="D158" s="961"/>
      <c r="E158" s="961"/>
      <c r="F158" s="961"/>
      <c r="G158" s="402"/>
      <c r="H158" s="403" t="s">
        <v>1579</v>
      </c>
    </row>
    <row r="159" spans="1:10">
      <c r="A159" s="398"/>
      <c r="B159" s="230" t="s">
        <v>2017</v>
      </c>
      <c r="C159" s="231" t="s">
        <v>1113</v>
      </c>
      <c r="D159" s="401">
        <v>165</v>
      </c>
      <c r="E159" s="959">
        <f>E151</f>
        <v>59.15</v>
      </c>
      <c r="F159" s="959"/>
      <c r="G159" s="958">
        <f>ROUND(D159*E159,2)</f>
        <v>9759.75</v>
      </c>
      <c r="H159" s="958"/>
    </row>
    <row r="160" spans="1:10">
      <c r="A160" s="398"/>
      <c r="B160" s="955" t="s">
        <v>536</v>
      </c>
      <c r="C160" s="955"/>
      <c r="D160" s="955"/>
      <c r="E160" s="389"/>
      <c r="F160" s="409"/>
      <c r="G160" s="410"/>
      <c r="H160" s="249">
        <v>0</v>
      </c>
    </row>
    <row r="161" spans="1:10">
      <c r="A161" s="398"/>
      <c r="B161" s="955" t="s">
        <v>537</v>
      </c>
      <c r="C161" s="955"/>
      <c r="D161" s="955"/>
      <c r="E161" s="389"/>
      <c r="F161" s="409"/>
      <c r="G161" s="410"/>
      <c r="H161" s="249">
        <f>SUM(G159)</f>
        <v>9759.75</v>
      </c>
    </row>
    <row r="162" spans="1:10">
      <c r="A162" s="398"/>
      <c r="B162" s="955" t="s">
        <v>1937</v>
      </c>
      <c r="C162" s="955"/>
      <c r="D162" s="955"/>
      <c r="E162" s="389"/>
      <c r="F162" s="409"/>
      <c r="G162" s="422"/>
      <c r="H162" s="328">
        <f>SUM(H160:H161)</f>
        <v>9759.75</v>
      </c>
      <c r="I162" s="412"/>
      <c r="J162" s="433"/>
    </row>
    <row r="163" spans="1:10">
      <c r="A163" s="398"/>
      <c r="B163" s="955" t="s">
        <v>538</v>
      </c>
      <c r="C163" s="955"/>
      <c r="D163" s="955"/>
      <c r="E163" s="389"/>
      <c r="F163" s="411" t="s">
        <v>539</v>
      </c>
      <c r="G163" s="422"/>
      <c r="H163" s="328">
        <f>ROUND(H162*F163,2)</f>
        <v>2436.0300000000002</v>
      </c>
      <c r="I163" s="412"/>
    </row>
    <row r="164" spans="1:10">
      <c r="A164" s="398"/>
      <c r="B164" s="956" t="s">
        <v>540</v>
      </c>
      <c r="C164" s="956"/>
      <c r="D164" s="956"/>
      <c r="E164" s="740"/>
      <c r="F164" s="768"/>
      <c r="G164" s="772"/>
      <c r="H164" s="771">
        <f>SUM(H162:H163)</f>
        <v>12195.78</v>
      </c>
      <c r="I164" s="412"/>
    </row>
    <row r="165" spans="1:10" s="579" customFormat="1">
      <c r="A165" s="601"/>
      <c r="B165" s="780"/>
      <c r="C165" s="780"/>
      <c r="D165" s="780"/>
      <c r="E165" s="740"/>
      <c r="F165" s="768"/>
      <c r="G165" s="772"/>
      <c r="H165" s="771"/>
      <c r="I165" s="412"/>
      <c r="J165" s="404"/>
    </row>
    <row r="166" spans="1:10">
      <c r="A166" s="403" t="s">
        <v>2302</v>
      </c>
      <c r="B166" s="961" t="s">
        <v>1062</v>
      </c>
      <c r="C166" s="961"/>
      <c r="D166" s="961"/>
      <c r="E166" s="961"/>
      <c r="F166" s="961"/>
      <c r="G166" s="402"/>
      <c r="H166" s="403" t="s">
        <v>1113</v>
      </c>
    </row>
    <row r="167" spans="1:10">
      <c r="A167" s="398"/>
      <c r="B167" s="230" t="s">
        <v>1062</v>
      </c>
      <c r="C167" s="231" t="s">
        <v>112</v>
      </c>
      <c r="D167" s="401">
        <v>220</v>
      </c>
      <c r="E167" s="959">
        <f>Insumos!C1116</f>
        <v>18.256218301499949</v>
      </c>
      <c r="F167" s="959"/>
      <c r="G167" s="958">
        <f>ROUND(D167*E167,2)</f>
        <v>4016.37</v>
      </c>
      <c r="H167" s="958"/>
    </row>
    <row r="168" spans="1:10">
      <c r="A168" s="398"/>
      <c r="B168" s="955" t="s">
        <v>536</v>
      </c>
      <c r="C168" s="955"/>
      <c r="D168" s="955"/>
      <c r="E168" s="389"/>
      <c r="F168" s="409"/>
      <c r="G168" s="410"/>
      <c r="H168" s="249">
        <v>0</v>
      </c>
    </row>
    <row r="169" spans="1:10">
      <c r="A169" s="398"/>
      <c r="B169" s="955" t="s">
        <v>537</v>
      </c>
      <c r="C169" s="955"/>
      <c r="D169" s="955"/>
      <c r="E169" s="389"/>
      <c r="F169" s="409"/>
      <c r="G169" s="422"/>
      <c r="H169" s="328">
        <f>SUM(G167)</f>
        <v>4016.37</v>
      </c>
    </row>
    <row r="170" spans="1:10" s="406" customFormat="1" ht="15">
      <c r="A170" s="398"/>
      <c r="B170" s="955" t="s">
        <v>1937</v>
      </c>
      <c r="C170" s="955"/>
      <c r="D170" s="955"/>
      <c r="E170" s="389"/>
      <c r="F170" s="409"/>
      <c r="G170" s="422"/>
      <c r="H170" s="328">
        <f>SUM(H168:H169)</f>
        <v>4016.37</v>
      </c>
      <c r="I170" s="407"/>
      <c r="J170" s="433"/>
    </row>
    <row r="171" spans="1:10">
      <c r="A171" s="398"/>
      <c r="B171" s="955" t="s">
        <v>538</v>
      </c>
      <c r="C171" s="955"/>
      <c r="D171" s="955"/>
      <c r="E171" s="389"/>
      <c r="F171" s="411" t="s">
        <v>539</v>
      </c>
      <c r="G171" s="422"/>
      <c r="H171" s="328">
        <f>ROUND(H170*F171,2)</f>
        <v>1002.49</v>
      </c>
    </row>
    <row r="172" spans="1:10">
      <c r="A172" s="398"/>
      <c r="B172" s="956" t="s">
        <v>540</v>
      </c>
      <c r="C172" s="956"/>
      <c r="D172" s="956"/>
      <c r="E172" s="740"/>
      <c r="F172" s="768"/>
      <c r="G172" s="772"/>
      <c r="H172" s="771">
        <f>SUM(H170:H171)</f>
        <v>5018.8599999999997</v>
      </c>
    </row>
    <row r="173" spans="1:10" s="579" customFormat="1">
      <c r="A173" s="601"/>
      <c r="B173" s="780"/>
      <c r="C173" s="780"/>
      <c r="D173" s="780"/>
      <c r="E173" s="740"/>
      <c r="F173" s="768"/>
      <c r="G173" s="772"/>
      <c r="H173" s="771"/>
      <c r="I173" s="400"/>
      <c r="J173" s="404"/>
    </row>
    <row r="174" spans="1:10">
      <c r="A174" s="403" t="s">
        <v>2303</v>
      </c>
      <c r="B174" s="961" t="s">
        <v>488</v>
      </c>
      <c r="C174" s="961"/>
      <c r="D174" s="961"/>
      <c r="E174" s="961"/>
      <c r="F174" s="961"/>
      <c r="G174" s="419"/>
      <c r="H174" s="428" t="s">
        <v>112</v>
      </c>
    </row>
    <row r="175" spans="1:10">
      <c r="A175" s="398"/>
      <c r="B175" s="230" t="s">
        <v>488</v>
      </c>
      <c r="C175" s="231" t="s">
        <v>112</v>
      </c>
      <c r="D175" s="401">
        <v>220</v>
      </c>
      <c r="E175" s="959">
        <f>Insumos!C1117</f>
        <v>10.292100000000001</v>
      </c>
      <c r="F175" s="959"/>
      <c r="G175" s="963">
        <f>ROUND(D175*E175,2)</f>
        <v>2264.2600000000002</v>
      </c>
      <c r="H175" s="963"/>
    </row>
    <row r="176" spans="1:10">
      <c r="A176" s="398"/>
      <c r="B176" s="955" t="s">
        <v>536</v>
      </c>
      <c r="C176" s="955"/>
      <c r="D176" s="955"/>
      <c r="E176" s="389"/>
      <c r="F176" s="409"/>
      <c r="G176" s="422"/>
      <c r="H176" s="328">
        <f>SUM(G174)</f>
        <v>0</v>
      </c>
    </row>
    <row r="177" spans="1:10">
      <c r="A177" s="398"/>
      <c r="B177" s="955" t="s">
        <v>537</v>
      </c>
      <c r="C177" s="955"/>
      <c r="D177" s="955"/>
      <c r="E177" s="389"/>
      <c r="F177" s="409"/>
      <c r="G177" s="422"/>
      <c r="H177" s="328">
        <f>SUM(G175)</f>
        <v>2264.2600000000002</v>
      </c>
    </row>
    <row r="178" spans="1:10">
      <c r="A178" s="398"/>
      <c r="B178" s="955" t="s">
        <v>1937</v>
      </c>
      <c r="C178" s="955"/>
      <c r="D178" s="955"/>
      <c r="E178" s="389"/>
      <c r="F178" s="409"/>
      <c r="G178" s="422"/>
      <c r="H178" s="328">
        <f>SUM(H176:H177)</f>
        <v>2264.2600000000002</v>
      </c>
      <c r="J178" s="433"/>
    </row>
    <row r="179" spans="1:10">
      <c r="A179" s="398"/>
      <c r="B179" s="955" t="s">
        <v>538</v>
      </c>
      <c r="C179" s="955"/>
      <c r="D179" s="955"/>
      <c r="E179" s="389"/>
      <c r="F179" s="411" t="s">
        <v>539</v>
      </c>
      <c r="G179" s="422"/>
      <c r="H179" s="328">
        <f>ROUND(H178*F179,2)</f>
        <v>565.16</v>
      </c>
    </row>
    <row r="180" spans="1:10">
      <c r="A180" s="398"/>
      <c r="B180" s="956" t="s">
        <v>540</v>
      </c>
      <c r="C180" s="956"/>
      <c r="D180" s="956"/>
      <c r="E180" s="740"/>
      <c r="F180" s="768"/>
      <c r="G180" s="772"/>
      <c r="H180" s="771">
        <f>SUM(H178:H179)</f>
        <v>2829.42</v>
      </c>
    </row>
    <row r="181" spans="1:10" s="579" customFormat="1">
      <c r="A181" s="601"/>
      <c r="B181" s="780"/>
      <c r="C181" s="780"/>
      <c r="D181" s="780"/>
      <c r="E181" s="740"/>
      <c r="F181" s="768"/>
      <c r="G181" s="772"/>
      <c r="H181" s="771"/>
      <c r="I181" s="400"/>
      <c r="J181" s="404"/>
    </row>
    <row r="182" spans="1:10">
      <c r="A182" s="403" t="s">
        <v>2304</v>
      </c>
      <c r="B182" s="961" t="s">
        <v>1585</v>
      </c>
      <c r="C182" s="961"/>
      <c r="D182" s="961"/>
      <c r="E182" s="961"/>
      <c r="F182" s="961"/>
      <c r="G182" s="419"/>
      <c r="H182" s="428" t="s">
        <v>112</v>
      </c>
    </row>
    <row r="183" spans="1:10">
      <c r="A183" s="398"/>
      <c r="B183" s="230" t="s">
        <v>1365</v>
      </c>
      <c r="C183" s="231" t="s">
        <v>1113</v>
      </c>
      <c r="D183" s="401">
        <v>1</v>
      </c>
      <c r="E183" s="959">
        <v>2273.42</v>
      </c>
      <c r="F183" s="959"/>
      <c r="G183" s="958">
        <f>ROUND(D183*E183,2)</f>
        <v>2273.42</v>
      </c>
      <c r="H183" s="958"/>
    </row>
    <row r="184" spans="1:10">
      <c r="A184" s="398"/>
      <c r="B184" s="955" t="s">
        <v>536</v>
      </c>
      <c r="C184" s="955"/>
      <c r="D184" s="955"/>
      <c r="E184" s="389"/>
      <c r="F184" s="409"/>
      <c r="G184" s="410"/>
      <c r="H184" s="249">
        <v>0</v>
      </c>
    </row>
    <row r="185" spans="1:10">
      <c r="A185" s="398"/>
      <c r="B185" s="955" t="s">
        <v>537</v>
      </c>
      <c r="C185" s="955"/>
      <c r="D185" s="955"/>
      <c r="E185" s="389"/>
      <c r="F185" s="409"/>
      <c r="G185" s="410"/>
      <c r="H185" s="249">
        <f>SUM(G183)</f>
        <v>2273.42</v>
      </c>
    </row>
    <row r="186" spans="1:10">
      <c r="A186" s="398"/>
      <c r="B186" s="955" t="s">
        <v>1937</v>
      </c>
      <c r="C186" s="955"/>
      <c r="D186" s="955"/>
      <c r="E186" s="389"/>
      <c r="F186" s="409"/>
      <c r="G186" s="410"/>
      <c r="H186" s="249">
        <f>SUM(H184:H185)</f>
        <v>2273.42</v>
      </c>
    </row>
    <row r="187" spans="1:10">
      <c r="A187" s="398"/>
      <c r="B187" s="955" t="s">
        <v>538</v>
      </c>
      <c r="C187" s="955"/>
      <c r="D187" s="955"/>
      <c r="E187" s="389"/>
      <c r="F187" s="411" t="s">
        <v>539</v>
      </c>
      <c r="G187" s="410"/>
      <c r="H187" s="249">
        <f>ROUND(H186*F187,2)</f>
        <v>567.45000000000005</v>
      </c>
    </row>
    <row r="188" spans="1:10" s="406" customFormat="1" ht="15">
      <c r="A188" s="398"/>
      <c r="B188" s="956" t="s">
        <v>540</v>
      </c>
      <c r="C188" s="956"/>
      <c r="D188" s="956"/>
      <c r="E188" s="740"/>
      <c r="F188" s="768"/>
      <c r="G188" s="769"/>
      <c r="H188" s="770">
        <f>SUM(H186:H187)</f>
        <v>2840.87</v>
      </c>
      <c r="I188" s="407"/>
      <c r="J188" s="408"/>
    </row>
    <row r="189" spans="1:10" s="581" customFormat="1" ht="15">
      <c r="A189" s="601"/>
      <c r="B189" s="780"/>
      <c r="C189" s="780"/>
      <c r="D189" s="780"/>
      <c r="E189" s="740"/>
      <c r="F189" s="768"/>
      <c r="G189" s="769"/>
      <c r="H189" s="770"/>
      <c r="I189" s="603"/>
      <c r="J189" s="604"/>
    </row>
    <row r="190" spans="1:10" s="406" customFormat="1" ht="15">
      <c r="A190" s="403" t="s">
        <v>2305</v>
      </c>
      <c r="B190" s="961" t="s">
        <v>1582</v>
      </c>
      <c r="C190" s="961"/>
      <c r="D190" s="961"/>
      <c r="E190" s="961"/>
      <c r="F190" s="961"/>
      <c r="G190" s="402"/>
      <c r="H190" s="403" t="s">
        <v>1113</v>
      </c>
      <c r="I190" s="407"/>
      <c r="J190" s="408"/>
    </row>
    <row r="191" spans="1:10">
      <c r="A191" s="398"/>
      <c r="B191" s="230" t="s">
        <v>1582</v>
      </c>
      <c r="C191" s="231" t="s">
        <v>1113</v>
      </c>
      <c r="D191" s="401">
        <v>220</v>
      </c>
      <c r="E191" s="959">
        <f>Insumos!C1259</f>
        <v>12.74</v>
      </c>
      <c r="F191" s="959"/>
      <c r="G191" s="958">
        <f>ROUND(D191*E191,2)</f>
        <v>2802.8</v>
      </c>
      <c r="H191" s="958"/>
    </row>
    <row r="192" spans="1:10">
      <c r="A192" s="398"/>
      <c r="B192" s="955" t="s">
        <v>536</v>
      </c>
      <c r="C192" s="955"/>
      <c r="D192" s="955"/>
      <c r="E192" s="389"/>
      <c r="F192" s="409"/>
      <c r="G192" s="410"/>
      <c r="H192" s="249">
        <v>0</v>
      </c>
    </row>
    <row r="193" spans="1:10">
      <c r="A193" s="398"/>
      <c r="B193" s="955" t="s">
        <v>537</v>
      </c>
      <c r="C193" s="955"/>
      <c r="D193" s="955"/>
      <c r="E193" s="389"/>
      <c r="F193" s="409"/>
      <c r="G193" s="410"/>
      <c r="H193" s="249">
        <f>SUM(G191)</f>
        <v>2802.8</v>
      </c>
    </row>
    <row r="194" spans="1:10">
      <c r="A194" s="398"/>
      <c r="B194" s="955" t="s">
        <v>1937</v>
      </c>
      <c r="C194" s="955"/>
      <c r="D194" s="955"/>
      <c r="E194" s="389"/>
      <c r="F194" s="409"/>
      <c r="G194" s="410"/>
      <c r="H194" s="249">
        <f>SUM(H192:H193)</f>
        <v>2802.8</v>
      </c>
    </row>
    <row r="195" spans="1:10">
      <c r="A195" s="398"/>
      <c r="B195" s="955" t="s">
        <v>538</v>
      </c>
      <c r="C195" s="955"/>
      <c r="D195" s="955"/>
      <c r="E195" s="389"/>
      <c r="F195" s="411" t="s">
        <v>539</v>
      </c>
      <c r="G195" s="410"/>
      <c r="H195" s="249">
        <f>ROUND(H194*F195,2)</f>
        <v>699.58</v>
      </c>
    </row>
    <row r="196" spans="1:10">
      <c r="A196" s="398"/>
      <c r="B196" s="956" t="s">
        <v>540</v>
      </c>
      <c r="C196" s="956"/>
      <c r="D196" s="956"/>
      <c r="E196" s="740"/>
      <c r="F196" s="768"/>
      <c r="G196" s="769"/>
      <c r="H196" s="770">
        <f>SUM(H194:H195)</f>
        <v>3502.38</v>
      </c>
    </row>
    <row r="197" spans="1:10" s="579" customFormat="1">
      <c r="A197" s="601"/>
      <c r="B197" s="780"/>
      <c r="C197" s="780"/>
      <c r="D197" s="780"/>
      <c r="E197" s="740"/>
      <c r="F197" s="768"/>
      <c r="G197" s="769"/>
      <c r="H197" s="770"/>
      <c r="I197" s="400"/>
      <c r="J197" s="404"/>
    </row>
    <row r="198" spans="1:10" s="406" customFormat="1" ht="15">
      <c r="A198" s="403" t="s">
        <v>2306</v>
      </c>
      <c r="B198" s="961" t="s">
        <v>1580</v>
      </c>
      <c r="C198" s="961"/>
      <c r="D198" s="961"/>
      <c r="E198" s="961"/>
      <c r="F198" s="961"/>
      <c r="G198" s="402"/>
      <c r="H198" s="428" t="s">
        <v>14</v>
      </c>
      <c r="I198" s="407"/>
      <c r="J198" s="408"/>
    </row>
    <row r="199" spans="1:10" s="406" customFormat="1" ht="15">
      <c r="A199" s="398"/>
      <c r="B199" s="321" t="s">
        <v>1581</v>
      </c>
      <c r="C199" s="231" t="s">
        <v>14</v>
      </c>
      <c r="D199" s="401">
        <v>1</v>
      </c>
      <c r="E199" s="981">
        <v>9</v>
      </c>
      <c r="F199" s="981"/>
      <c r="G199" s="322"/>
      <c r="H199" s="309">
        <f>ROUND(D199*E199,2)</f>
        <v>9</v>
      </c>
      <c r="I199" s="407"/>
      <c r="J199" s="408"/>
    </row>
    <row r="200" spans="1:10" s="406" customFormat="1" ht="15">
      <c r="A200" s="398"/>
      <c r="B200" s="321" t="s">
        <v>2037</v>
      </c>
      <c r="C200" s="231" t="s">
        <v>14</v>
      </c>
      <c r="D200" s="401">
        <v>1</v>
      </c>
      <c r="E200" s="981">
        <v>1.2</v>
      </c>
      <c r="F200" s="981"/>
      <c r="G200" s="322"/>
      <c r="H200" s="309">
        <f>ROUND(D200*E200,2)</f>
        <v>1.2</v>
      </c>
      <c r="I200" s="407"/>
      <c r="J200" s="408"/>
    </row>
    <row r="201" spans="1:10">
      <c r="A201" s="398"/>
      <c r="B201" s="955" t="s">
        <v>536</v>
      </c>
      <c r="C201" s="955"/>
      <c r="D201" s="955"/>
      <c r="E201" s="389"/>
      <c r="F201" s="409"/>
      <c r="G201" s="410"/>
      <c r="H201" s="249">
        <f>SUM(H199:H200)</f>
        <v>10.199999999999999</v>
      </c>
    </row>
    <row r="202" spans="1:10">
      <c r="A202" s="398"/>
      <c r="B202" s="955" t="s">
        <v>537</v>
      </c>
      <c r="C202" s="955"/>
      <c r="D202" s="955"/>
      <c r="E202" s="389"/>
      <c r="F202" s="409"/>
      <c r="G202" s="410"/>
      <c r="H202" s="249" t="s">
        <v>0</v>
      </c>
    </row>
    <row r="203" spans="1:10">
      <c r="A203" s="398"/>
      <c r="B203" s="955" t="s">
        <v>1937</v>
      </c>
      <c r="C203" s="955"/>
      <c r="D203" s="955"/>
      <c r="E203" s="389"/>
      <c r="F203" s="411"/>
      <c r="G203" s="410"/>
      <c r="H203" s="249">
        <f>SUM(H201:H202)</f>
        <v>10.199999999999999</v>
      </c>
    </row>
    <row r="204" spans="1:10">
      <c r="A204" s="398"/>
      <c r="B204" s="955" t="s">
        <v>538</v>
      </c>
      <c r="C204" s="955"/>
      <c r="D204" s="955"/>
      <c r="E204" s="389"/>
      <c r="F204" s="409" t="s">
        <v>539</v>
      </c>
      <c r="G204" s="410"/>
      <c r="H204" s="249">
        <f>ROUND(H203*F204,2)</f>
        <v>2.5499999999999998</v>
      </c>
    </row>
    <row r="205" spans="1:10">
      <c r="A205" s="398"/>
      <c r="B205" s="956" t="s">
        <v>540</v>
      </c>
      <c r="C205" s="956"/>
      <c r="D205" s="956"/>
      <c r="E205" s="740"/>
      <c r="F205" s="768"/>
      <c r="G205" s="769"/>
      <c r="H205" s="770">
        <f>SUM(H203:H204)</f>
        <v>12.75</v>
      </c>
    </row>
    <row r="206" spans="1:10" s="579" customFormat="1">
      <c r="A206" s="601"/>
      <c r="B206" s="780"/>
      <c r="C206" s="780"/>
      <c r="D206" s="780"/>
      <c r="E206" s="740"/>
      <c r="F206" s="768"/>
      <c r="G206" s="769"/>
      <c r="H206" s="770"/>
      <c r="I206" s="400"/>
      <c r="J206" s="404"/>
    </row>
    <row r="207" spans="1:10" s="406" customFormat="1" ht="15">
      <c r="A207" s="403" t="s">
        <v>2307</v>
      </c>
      <c r="B207" s="961" t="s">
        <v>1572</v>
      </c>
      <c r="C207" s="961"/>
      <c r="D207" s="961"/>
      <c r="E207" s="961"/>
      <c r="F207" s="961"/>
      <c r="G207" s="402"/>
      <c r="H207" s="403" t="s">
        <v>1113</v>
      </c>
      <c r="I207" s="407"/>
      <c r="J207" s="408"/>
    </row>
    <row r="208" spans="1:10" s="406" customFormat="1" ht="15">
      <c r="A208" s="398"/>
      <c r="B208" s="230" t="s">
        <v>1573</v>
      </c>
      <c r="C208" s="231" t="s">
        <v>14</v>
      </c>
      <c r="D208" s="401">
        <v>1</v>
      </c>
      <c r="E208" s="981">
        <v>7</v>
      </c>
      <c r="F208" s="981"/>
      <c r="G208" s="322"/>
      <c r="H208" s="309">
        <f>ROUND(D208*E208,2)</f>
        <v>7</v>
      </c>
      <c r="I208" s="435"/>
      <c r="J208" s="408"/>
    </row>
    <row r="209" spans="1:11" s="406" customFormat="1" ht="15">
      <c r="A209" s="398"/>
      <c r="B209" s="321" t="s">
        <v>1575</v>
      </c>
      <c r="C209" s="231" t="s">
        <v>1574</v>
      </c>
      <c r="D209" s="401">
        <v>2</v>
      </c>
      <c r="E209" s="981">
        <v>20</v>
      </c>
      <c r="F209" s="981"/>
      <c r="G209" s="322"/>
      <c r="H209" s="309">
        <f>ROUND(D209*E209,2)</f>
        <v>40</v>
      </c>
      <c r="I209" s="435"/>
      <c r="J209" s="408"/>
    </row>
    <row r="210" spans="1:11" s="406" customFormat="1" ht="15">
      <c r="A210" s="398"/>
      <c r="B210" s="321" t="s">
        <v>1576</v>
      </c>
      <c r="C210" s="231" t="s">
        <v>1574</v>
      </c>
      <c r="D210" s="401">
        <v>4</v>
      </c>
      <c r="E210" s="981">
        <v>5</v>
      </c>
      <c r="F210" s="981"/>
      <c r="G210" s="322"/>
      <c r="H210" s="309">
        <f>ROUND(D210*E210,2)</f>
        <v>20</v>
      </c>
      <c r="I210" s="435"/>
      <c r="J210" s="408"/>
    </row>
    <row r="211" spans="1:11" s="406" customFormat="1" ht="15">
      <c r="A211" s="398"/>
      <c r="B211" s="321" t="s">
        <v>1577</v>
      </c>
      <c r="C211" s="231" t="s">
        <v>14</v>
      </c>
      <c r="D211" s="401">
        <v>1</v>
      </c>
      <c r="E211" s="981">
        <v>2.5</v>
      </c>
      <c r="F211" s="981"/>
      <c r="G211" s="322"/>
      <c r="H211" s="309">
        <f>ROUND(D211*E211,2)</f>
        <v>2.5</v>
      </c>
      <c r="I211" s="435"/>
      <c r="J211" s="408"/>
    </row>
    <row r="212" spans="1:11" s="406" customFormat="1" ht="15">
      <c r="A212" s="398"/>
      <c r="B212" s="321" t="s">
        <v>1578</v>
      </c>
      <c r="C212" s="231" t="s">
        <v>14</v>
      </c>
      <c r="D212" s="401">
        <v>2</v>
      </c>
      <c r="E212" s="981">
        <v>52</v>
      </c>
      <c r="F212" s="981"/>
      <c r="G212" s="322"/>
      <c r="H212" s="309">
        <f>ROUND(D212*E212,2)</f>
        <v>104</v>
      </c>
      <c r="I212" s="435"/>
      <c r="J212" s="408"/>
    </row>
    <row r="213" spans="1:11">
      <c r="A213" s="398"/>
      <c r="B213" s="955" t="s">
        <v>536</v>
      </c>
      <c r="C213" s="955"/>
      <c r="D213" s="955"/>
      <c r="E213" s="389"/>
      <c r="F213" s="409"/>
      <c r="G213" s="410"/>
      <c r="H213" s="249">
        <f>SUM(H208:H212)</f>
        <v>173.5</v>
      </c>
    </row>
    <row r="214" spans="1:11">
      <c r="A214" s="398"/>
      <c r="B214" s="955" t="s">
        <v>537</v>
      </c>
      <c r="C214" s="955"/>
      <c r="D214" s="955"/>
      <c r="E214" s="389"/>
      <c r="F214" s="409"/>
      <c r="G214" s="410"/>
      <c r="H214" s="249">
        <f>SUM(G208)</f>
        <v>0</v>
      </c>
    </row>
    <row r="215" spans="1:11">
      <c r="A215" s="398"/>
      <c r="B215" s="955" t="s">
        <v>1937</v>
      </c>
      <c r="C215" s="955"/>
      <c r="D215" s="955"/>
      <c r="E215" s="389"/>
      <c r="F215" s="411"/>
      <c r="G215" s="410"/>
      <c r="H215" s="249">
        <f>SUM(H213:H214)</f>
        <v>173.5</v>
      </c>
    </row>
    <row r="216" spans="1:11">
      <c r="A216" s="398"/>
      <c r="B216" s="955" t="s">
        <v>538</v>
      </c>
      <c r="C216" s="955"/>
      <c r="D216" s="955"/>
      <c r="E216" s="389"/>
      <c r="F216" s="409" t="s">
        <v>539</v>
      </c>
      <c r="G216" s="410"/>
      <c r="H216" s="249">
        <f>ROUND(H215*F216,2)</f>
        <v>43.31</v>
      </c>
    </row>
    <row r="217" spans="1:11">
      <c r="A217" s="398"/>
      <c r="B217" s="956" t="s">
        <v>540</v>
      </c>
      <c r="C217" s="956"/>
      <c r="D217" s="956"/>
      <c r="E217" s="740"/>
      <c r="F217" s="768"/>
      <c r="G217" s="769"/>
      <c r="H217" s="770">
        <f>SUM(H215:H216)</f>
        <v>216.81</v>
      </c>
    </row>
    <row r="218" spans="1:11" s="579" customFormat="1">
      <c r="A218" s="601"/>
      <c r="B218" s="780"/>
      <c r="C218" s="780"/>
      <c r="D218" s="780"/>
      <c r="E218" s="740"/>
      <c r="F218" s="768"/>
      <c r="G218" s="769"/>
      <c r="H218" s="770"/>
      <c r="I218" s="400"/>
      <c r="J218" s="404"/>
    </row>
    <row r="219" spans="1:11" s="581" customFormat="1" ht="15">
      <c r="A219" s="424" t="s">
        <v>2308</v>
      </c>
      <c r="B219" s="983" t="s">
        <v>1593</v>
      </c>
      <c r="C219" s="983"/>
      <c r="D219" s="983"/>
      <c r="E219" s="983"/>
      <c r="F219" s="983"/>
      <c r="G219" s="741"/>
      <c r="H219" s="424" t="s">
        <v>1113</v>
      </c>
      <c r="I219" s="993"/>
      <c r="J219" s="421"/>
      <c r="K219" s="615"/>
    </row>
    <row r="220" spans="1:11" s="581" customFormat="1" ht="15">
      <c r="A220" s="425"/>
      <c r="B220" s="426" t="s">
        <v>2291</v>
      </c>
      <c r="C220" s="427" t="s">
        <v>14</v>
      </c>
      <c r="D220" s="420">
        <v>5</v>
      </c>
      <c r="E220" s="984">
        <v>499</v>
      </c>
      <c r="F220" s="984"/>
      <c r="G220" s="742"/>
      <c r="H220" s="743">
        <f>ROUND(D220*E220,2)</f>
        <v>2495</v>
      </c>
      <c r="I220" s="994"/>
      <c r="J220" s="421"/>
      <c r="K220" s="615"/>
    </row>
    <row r="221" spans="1:11" s="581" customFormat="1" ht="15">
      <c r="A221" s="425"/>
      <c r="B221" s="973" t="s">
        <v>536</v>
      </c>
      <c r="C221" s="973"/>
      <c r="D221" s="973"/>
      <c r="E221" s="744"/>
      <c r="F221" s="745"/>
      <c r="G221" s="746"/>
      <c r="H221" s="597">
        <f>SUM(H220:H220)</f>
        <v>2495</v>
      </c>
      <c r="I221" s="994"/>
      <c r="J221" s="421"/>
      <c r="K221" s="615"/>
    </row>
    <row r="222" spans="1:11" s="581" customFormat="1" ht="15">
      <c r="A222" s="425"/>
      <c r="B222" s="973" t="s">
        <v>537</v>
      </c>
      <c r="C222" s="973"/>
      <c r="D222" s="973"/>
      <c r="E222" s="744"/>
      <c r="F222" s="745"/>
      <c r="G222" s="746"/>
      <c r="H222" s="597">
        <v>0</v>
      </c>
      <c r="I222" s="994"/>
      <c r="J222" s="421"/>
      <c r="K222" s="615"/>
    </row>
    <row r="223" spans="1:11" s="581" customFormat="1" ht="15">
      <c r="A223" s="425"/>
      <c r="B223" s="973" t="s">
        <v>1936</v>
      </c>
      <c r="C223" s="973"/>
      <c r="D223" s="973"/>
      <c r="E223" s="744"/>
      <c r="F223" s="745"/>
      <c r="G223" s="746"/>
      <c r="H223" s="597">
        <f>SUM(H221:H222)</f>
        <v>2495</v>
      </c>
      <c r="I223" s="994"/>
      <c r="J223" s="747"/>
      <c r="K223" s="747"/>
    </row>
    <row r="224" spans="1:11" s="581" customFormat="1" ht="15">
      <c r="A224" s="425"/>
      <c r="B224" s="973" t="s">
        <v>538</v>
      </c>
      <c r="C224" s="973"/>
      <c r="D224" s="973"/>
      <c r="E224" s="744"/>
      <c r="F224" s="621">
        <v>0.1</v>
      </c>
      <c r="G224" s="746"/>
      <c r="H224" s="597">
        <f>F224*H223</f>
        <v>249.5</v>
      </c>
      <c r="I224" s="994"/>
      <c r="J224" s="747"/>
      <c r="K224" s="747"/>
    </row>
    <row r="225" spans="1:11" s="579" customFormat="1">
      <c r="A225" s="425"/>
      <c r="B225" s="982" t="s">
        <v>540</v>
      </c>
      <c r="C225" s="982"/>
      <c r="D225" s="982"/>
      <c r="E225" s="773"/>
      <c r="F225" s="774"/>
      <c r="G225" s="775"/>
      <c r="H225" s="770">
        <f>ROUND(H224+H223,2)</f>
        <v>2744.5</v>
      </c>
      <c r="I225" s="994"/>
      <c r="J225" s="747"/>
      <c r="K225" s="747"/>
    </row>
    <row r="226" spans="1:11" s="579" customFormat="1" ht="14.25">
      <c r="A226" s="425"/>
      <c r="B226" s="795"/>
      <c r="C226" s="795"/>
      <c r="D226" s="795"/>
      <c r="E226" s="773"/>
      <c r="F226" s="774"/>
      <c r="G226" s="775"/>
      <c r="H226" s="770"/>
      <c r="I226" s="796"/>
      <c r="J226" s="747"/>
      <c r="K226" s="747"/>
    </row>
    <row r="227" spans="1:11" s="167" customFormat="1">
      <c r="A227" s="756">
        <v>4</v>
      </c>
      <c r="B227" s="975" t="s">
        <v>1056</v>
      </c>
      <c r="C227" s="975"/>
      <c r="D227" s="975"/>
      <c r="E227" s="975"/>
      <c r="F227" s="975"/>
      <c r="G227" s="762"/>
      <c r="H227" s="763"/>
      <c r="I227" s="326"/>
      <c r="J227" s="344"/>
    </row>
    <row r="228" spans="1:11" ht="15">
      <c r="A228" s="403" t="s">
        <v>2309</v>
      </c>
      <c r="B228" s="985" t="s">
        <v>1940</v>
      </c>
      <c r="C228" s="985"/>
      <c r="D228" s="985"/>
      <c r="E228" s="985"/>
      <c r="F228" s="985"/>
      <c r="G228" s="418"/>
      <c r="H228" s="428" t="s">
        <v>1113</v>
      </c>
    </row>
    <row r="229" spans="1:11">
      <c r="A229" s="398"/>
      <c r="B229" s="230" t="s">
        <v>535</v>
      </c>
      <c r="C229" s="231" t="s">
        <v>112</v>
      </c>
      <c r="D229" s="355">
        <v>192</v>
      </c>
      <c r="E229" s="981">
        <f>E108</f>
        <v>6.4064000000000005</v>
      </c>
      <c r="F229" s="981"/>
      <c r="G229" s="963">
        <f>ROUND(D229*E229,2)</f>
        <v>1230.03</v>
      </c>
      <c r="H229" s="963"/>
    </row>
    <row r="230" spans="1:11">
      <c r="A230" s="398"/>
      <c r="B230" s="955" t="s">
        <v>536</v>
      </c>
      <c r="C230" s="955"/>
      <c r="D230" s="955"/>
      <c r="E230" s="389"/>
      <c r="F230" s="409"/>
      <c r="G230" s="410"/>
      <c r="H230" s="328"/>
    </row>
    <row r="231" spans="1:11">
      <c r="A231" s="398"/>
      <c r="B231" s="955" t="s">
        <v>537</v>
      </c>
      <c r="C231" s="955"/>
      <c r="D231" s="955"/>
      <c r="E231" s="389"/>
      <c r="F231" s="409"/>
      <c r="G231" s="410"/>
      <c r="H231" s="328">
        <f>SUM(G229)</f>
        <v>1230.03</v>
      </c>
    </row>
    <row r="232" spans="1:11">
      <c r="A232" s="398"/>
      <c r="B232" s="955" t="s">
        <v>1937</v>
      </c>
      <c r="C232" s="955"/>
      <c r="D232" s="955"/>
      <c r="E232" s="389"/>
      <c r="F232" s="409"/>
      <c r="G232" s="410"/>
      <c r="H232" s="328">
        <f>SUM(H230:H231)</f>
        <v>1230.03</v>
      </c>
    </row>
    <row r="233" spans="1:11">
      <c r="A233" s="398"/>
      <c r="B233" s="955" t="s">
        <v>538</v>
      </c>
      <c r="C233" s="955"/>
      <c r="D233" s="955"/>
      <c r="E233" s="389"/>
      <c r="F233" s="411" t="s">
        <v>539</v>
      </c>
      <c r="G233" s="410"/>
      <c r="H233" s="328">
        <f>ROUND(H232*F233,2)</f>
        <v>307.02</v>
      </c>
    </row>
    <row r="234" spans="1:11">
      <c r="A234" s="398"/>
      <c r="B234" s="956" t="s">
        <v>540</v>
      </c>
      <c r="C234" s="956"/>
      <c r="D234" s="956"/>
      <c r="E234" s="740"/>
      <c r="F234" s="768"/>
      <c r="G234" s="769"/>
      <c r="H234" s="771">
        <f>SUM(H232:H233)</f>
        <v>1537.05</v>
      </c>
    </row>
    <row r="235" spans="1:11" s="579" customFormat="1">
      <c r="A235" s="601"/>
      <c r="B235" s="780"/>
      <c r="C235" s="780"/>
      <c r="D235" s="780"/>
      <c r="E235" s="740"/>
      <c r="F235" s="768"/>
      <c r="G235" s="769"/>
      <c r="H235" s="771"/>
      <c r="I235" s="400"/>
      <c r="J235" s="404"/>
    </row>
    <row r="236" spans="1:11" ht="15">
      <c r="A236" s="403" t="s">
        <v>2310</v>
      </c>
      <c r="B236" s="961" t="s">
        <v>1057</v>
      </c>
      <c r="C236" s="961"/>
      <c r="D236" s="961"/>
      <c r="E236" s="961"/>
      <c r="F236" s="961"/>
      <c r="G236" s="406"/>
      <c r="H236" s="403" t="s">
        <v>13</v>
      </c>
    </row>
    <row r="237" spans="1:11">
      <c r="A237" s="398"/>
      <c r="B237" s="230" t="s">
        <v>1058</v>
      </c>
      <c r="C237" s="231" t="s">
        <v>612</v>
      </c>
      <c r="D237" s="420">
        <v>4.5999999999999999E-2</v>
      </c>
      <c r="E237" s="959">
        <f>Insumos!C1212</f>
        <v>3.2396000000000003</v>
      </c>
      <c r="F237" s="959"/>
      <c r="G237" s="958">
        <f>ROUND(D237*E237,2)</f>
        <v>0.15</v>
      </c>
      <c r="H237" s="958"/>
      <c r="K237" s="613"/>
    </row>
    <row r="238" spans="1:11" ht="15">
      <c r="A238" s="398"/>
      <c r="B238" s="230" t="s">
        <v>535</v>
      </c>
      <c r="C238" s="231" t="s">
        <v>112</v>
      </c>
      <c r="D238" s="420">
        <v>0.14000000000000001</v>
      </c>
      <c r="E238" s="959">
        <f>Insumos!C1213</f>
        <v>6.4064000000000005</v>
      </c>
      <c r="F238" s="959"/>
      <c r="G238" s="958">
        <f>ROUND(D238*E238,2)</f>
        <v>0.9</v>
      </c>
      <c r="H238" s="958"/>
      <c r="K238" s="421"/>
    </row>
    <row r="239" spans="1:11">
      <c r="A239" s="398"/>
      <c r="B239" s="955" t="s">
        <v>536</v>
      </c>
      <c r="C239" s="955"/>
      <c r="D239" s="955"/>
      <c r="E239" s="389"/>
      <c r="F239" s="409"/>
      <c r="G239" s="410"/>
      <c r="H239" s="328">
        <f>SUM(G237)</f>
        <v>0.15</v>
      </c>
    </row>
    <row r="240" spans="1:11">
      <c r="A240" s="398"/>
      <c r="B240" s="955" t="s">
        <v>537</v>
      </c>
      <c r="C240" s="955"/>
      <c r="D240" s="955"/>
      <c r="E240" s="389"/>
      <c r="F240" s="409"/>
      <c r="G240" s="410"/>
      <c r="H240" s="328">
        <f>SUM(G238)</f>
        <v>0.9</v>
      </c>
    </row>
    <row r="241" spans="1:11">
      <c r="A241" s="398"/>
      <c r="B241" s="955" t="s">
        <v>1937</v>
      </c>
      <c r="C241" s="955"/>
      <c r="D241" s="955"/>
      <c r="E241" s="389"/>
      <c r="F241" s="409"/>
      <c r="G241" s="410"/>
      <c r="H241" s="328">
        <f>SUM(H239:H240)</f>
        <v>1.05</v>
      </c>
    </row>
    <row r="242" spans="1:11">
      <c r="A242" s="398"/>
      <c r="B242" s="955" t="s">
        <v>538</v>
      </c>
      <c r="C242" s="955"/>
      <c r="D242" s="955"/>
      <c r="E242" s="389"/>
      <c r="F242" s="411" t="s">
        <v>539</v>
      </c>
      <c r="G242" s="410"/>
      <c r="H242" s="328">
        <f>ROUND(H241*F242,2)</f>
        <v>0.26</v>
      </c>
    </row>
    <row r="243" spans="1:11">
      <c r="A243" s="398"/>
      <c r="B243" s="956" t="s">
        <v>540</v>
      </c>
      <c r="C243" s="956"/>
      <c r="D243" s="956"/>
      <c r="E243" s="740"/>
      <c r="F243" s="768"/>
      <c r="G243" s="769"/>
      <c r="H243" s="771">
        <f>SUM(H241:H242)</f>
        <v>1.31</v>
      </c>
    </row>
    <row r="244" spans="1:11" s="579" customFormat="1">
      <c r="A244" s="601"/>
      <c r="B244" s="780"/>
      <c r="C244" s="780"/>
      <c r="D244" s="780"/>
      <c r="E244" s="740"/>
      <c r="F244" s="768"/>
      <c r="G244" s="769"/>
      <c r="H244" s="771"/>
      <c r="I244" s="400"/>
      <c r="J244" s="404"/>
    </row>
    <row r="245" spans="1:11" s="167" customFormat="1">
      <c r="A245" s="756">
        <v>5</v>
      </c>
      <c r="B245" s="975" t="s">
        <v>1626</v>
      </c>
      <c r="C245" s="975"/>
      <c r="D245" s="975"/>
      <c r="E245" s="975"/>
      <c r="F245" s="975"/>
      <c r="G245" s="762"/>
      <c r="H245" s="763"/>
      <c r="I245" s="326"/>
      <c r="J245" s="344"/>
    </row>
    <row r="246" spans="1:11" ht="33.6" customHeight="1">
      <c r="A246" s="403" t="s">
        <v>2311</v>
      </c>
      <c r="B246" s="961" t="s">
        <v>2239</v>
      </c>
      <c r="C246" s="961"/>
      <c r="D246" s="961"/>
      <c r="E246" s="961"/>
      <c r="F246" s="961"/>
      <c r="G246" s="406"/>
      <c r="H246" s="403" t="s">
        <v>115</v>
      </c>
    </row>
    <row r="247" spans="1:11" ht="22.5">
      <c r="A247" s="398"/>
      <c r="B247" s="230" t="s">
        <v>2239</v>
      </c>
      <c r="C247" s="231" t="s">
        <v>115</v>
      </c>
      <c r="D247" s="401">
        <v>1</v>
      </c>
      <c r="E247" s="959">
        <v>345</v>
      </c>
      <c r="F247" s="959"/>
      <c r="G247" s="958">
        <f>ROUND(D247*E247,2)</f>
        <v>345</v>
      </c>
      <c r="H247" s="958"/>
      <c r="J247" s="433" t="s">
        <v>2267</v>
      </c>
      <c r="K247" s="615"/>
    </row>
    <row r="248" spans="1:11" ht="15">
      <c r="A248" s="398"/>
      <c r="B248" s="955" t="s">
        <v>536</v>
      </c>
      <c r="C248" s="955"/>
      <c r="D248" s="955"/>
      <c r="E248" s="491"/>
      <c r="F248" s="409"/>
      <c r="G248" s="410"/>
      <c r="H248" s="249">
        <f>SUM(G247)</f>
        <v>345</v>
      </c>
      <c r="K248" s="421"/>
    </row>
    <row r="249" spans="1:11" ht="15">
      <c r="A249" s="398"/>
      <c r="B249" s="955" t="s">
        <v>537</v>
      </c>
      <c r="C249" s="955"/>
      <c r="D249" s="955"/>
      <c r="E249" s="491"/>
      <c r="F249" s="409"/>
      <c r="G249" s="410"/>
      <c r="H249" s="249">
        <v>0</v>
      </c>
      <c r="K249" s="421"/>
    </row>
    <row r="250" spans="1:11" ht="15">
      <c r="A250" s="398"/>
      <c r="B250" s="955" t="s">
        <v>1937</v>
      </c>
      <c r="C250" s="955"/>
      <c r="D250" s="955"/>
      <c r="E250" s="491"/>
      <c r="F250" s="409"/>
      <c r="G250" s="410"/>
      <c r="H250" s="249">
        <f>SUM(H248:H249)</f>
        <v>345</v>
      </c>
      <c r="K250" s="421"/>
    </row>
    <row r="251" spans="1:11" ht="15">
      <c r="A251" s="398"/>
      <c r="B251" s="955" t="s">
        <v>538</v>
      </c>
      <c r="C251" s="955"/>
      <c r="D251" s="955"/>
      <c r="E251" s="491"/>
      <c r="F251" s="621">
        <v>0.1</v>
      </c>
      <c r="G251" s="410"/>
      <c r="H251" s="249">
        <f t="shared" ref="H251" si="6">ROUND(H250*F251,2)</f>
        <v>34.5</v>
      </c>
      <c r="K251" s="421"/>
    </row>
    <row r="252" spans="1:11">
      <c r="A252" s="398"/>
      <c r="B252" s="956" t="s">
        <v>540</v>
      </c>
      <c r="C252" s="956"/>
      <c r="D252" s="956"/>
      <c r="E252" s="740"/>
      <c r="F252" s="768"/>
      <c r="G252" s="769"/>
      <c r="H252" s="770">
        <f>SUM(H250:H251)</f>
        <v>379.5</v>
      </c>
    </row>
    <row r="253" spans="1:11" s="579" customFormat="1">
      <c r="A253" s="601"/>
      <c r="B253" s="780"/>
      <c r="C253" s="780"/>
      <c r="D253" s="780"/>
      <c r="E253" s="740"/>
      <c r="F253" s="768"/>
      <c r="G253" s="769"/>
      <c r="H253" s="770"/>
      <c r="I253" s="400"/>
      <c r="J253" s="404"/>
    </row>
    <row r="254" spans="1:11" ht="24.75" customHeight="1">
      <c r="A254" s="403" t="s">
        <v>2312</v>
      </c>
      <c r="B254" s="961" t="s">
        <v>2240</v>
      </c>
      <c r="C254" s="961"/>
      <c r="D254" s="961"/>
      <c r="E254" s="961"/>
      <c r="F254" s="961"/>
      <c r="G254" s="406"/>
      <c r="H254" s="403" t="s">
        <v>115</v>
      </c>
    </row>
    <row r="255" spans="1:11" ht="22.5">
      <c r="A255" s="398"/>
      <c r="B255" s="230" t="s">
        <v>2240</v>
      </c>
      <c r="C255" s="231" t="s">
        <v>115</v>
      </c>
      <c r="D255" s="478">
        <v>1</v>
      </c>
      <c r="E255" s="984">
        <v>166.07</v>
      </c>
      <c r="F255" s="984"/>
      <c r="G255" s="958">
        <f>ROUND(D255*E255,2)</f>
        <v>166.07</v>
      </c>
      <c r="H255" s="958"/>
      <c r="J255" s="433" t="s">
        <v>2267</v>
      </c>
    </row>
    <row r="256" spans="1:11">
      <c r="A256" s="398"/>
      <c r="B256" s="955" t="s">
        <v>536</v>
      </c>
      <c r="C256" s="955"/>
      <c r="D256" s="955"/>
      <c r="E256" s="389"/>
      <c r="F256" s="409"/>
      <c r="G256" s="410"/>
      <c r="H256" s="249">
        <f>SUM(G255)</f>
        <v>166.07</v>
      </c>
    </row>
    <row r="257" spans="1:10">
      <c r="A257" s="398"/>
      <c r="B257" s="955" t="s">
        <v>537</v>
      </c>
      <c r="C257" s="955"/>
      <c r="D257" s="955"/>
      <c r="E257" s="389"/>
      <c r="F257" s="409"/>
      <c r="G257" s="410"/>
      <c r="H257" s="249">
        <v>0</v>
      </c>
    </row>
    <row r="258" spans="1:10">
      <c r="A258" s="398"/>
      <c r="B258" s="955" t="s">
        <v>1937</v>
      </c>
      <c r="C258" s="955"/>
      <c r="D258" s="955"/>
      <c r="E258" s="389"/>
      <c r="F258" s="409"/>
      <c r="G258" s="410"/>
      <c r="H258" s="249">
        <f>SUM(H256:H257)</f>
        <v>166.07</v>
      </c>
    </row>
    <row r="259" spans="1:10">
      <c r="A259" s="398"/>
      <c r="B259" s="955" t="s">
        <v>538</v>
      </c>
      <c r="C259" s="955"/>
      <c r="D259" s="955"/>
      <c r="E259" s="389"/>
      <c r="F259" s="621">
        <v>0.1</v>
      </c>
      <c r="G259" s="410"/>
      <c r="H259" s="249">
        <f t="shared" ref="H259" si="7">ROUND(H258*F259,2)</f>
        <v>16.61</v>
      </c>
    </row>
    <row r="260" spans="1:10">
      <c r="A260" s="398"/>
      <c r="B260" s="956" t="s">
        <v>540</v>
      </c>
      <c r="C260" s="956"/>
      <c r="D260" s="956"/>
      <c r="E260" s="740"/>
      <c r="F260" s="768"/>
      <c r="G260" s="769"/>
      <c r="H260" s="770">
        <f>SUM(H258:H259)</f>
        <v>182.68</v>
      </c>
    </row>
    <row r="261" spans="1:10" s="579" customFormat="1">
      <c r="A261" s="601"/>
      <c r="B261" s="780"/>
      <c r="C261" s="780"/>
      <c r="D261" s="780"/>
      <c r="E261" s="740"/>
      <c r="F261" s="768"/>
      <c r="G261" s="769"/>
      <c r="H261" s="770"/>
      <c r="I261" s="400"/>
      <c r="J261" s="404"/>
    </row>
    <row r="262" spans="1:10" ht="24.75" customHeight="1">
      <c r="A262" s="424" t="s">
        <v>2313</v>
      </c>
      <c r="B262" s="983" t="s">
        <v>1992</v>
      </c>
      <c r="C262" s="983"/>
      <c r="D262" s="983"/>
      <c r="E262" s="983"/>
      <c r="F262" s="983"/>
      <c r="G262" s="406"/>
      <c r="H262" s="403" t="s">
        <v>1991</v>
      </c>
    </row>
    <row r="263" spans="1:10" ht="22.15" customHeight="1">
      <c r="A263" s="425"/>
      <c r="B263" s="426" t="s">
        <v>1474</v>
      </c>
      <c r="C263" s="427" t="s">
        <v>112</v>
      </c>
      <c r="D263" s="355">
        <v>6.6670000000000002E-3</v>
      </c>
      <c r="E263" s="981">
        <f>Insumos!E1232</f>
        <v>87.36</v>
      </c>
      <c r="F263" s="981"/>
      <c r="G263" s="958">
        <f>ROUND(D263*E263,2)</f>
        <v>0.57999999999999996</v>
      </c>
      <c r="H263" s="958"/>
    </row>
    <row r="264" spans="1:10">
      <c r="A264" s="398"/>
      <c r="B264" s="955" t="s">
        <v>536</v>
      </c>
      <c r="C264" s="955"/>
      <c r="D264" s="955"/>
      <c r="E264" s="389"/>
      <c r="F264" s="409"/>
      <c r="G264" s="410"/>
      <c r="H264" s="249"/>
    </row>
    <row r="265" spans="1:10">
      <c r="A265" s="398"/>
      <c r="B265" s="955" t="s">
        <v>537</v>
      </c>
      <c r="C265" s="955"/>
      <c r="D265" s="955"/>
      <c r="E265" s="389"/>
      <c r="F265" s="409"/>
      <c r="G265" s="410"/>
      <c r="H265" s="249">
        <f>SUM(G263)</f>
        <v>0.57999999999999996</v>
      </c>
    </row>
    <row r="266" spans="1:10">
      <c r="A266" s="398"/>
      <c r="B266" s="955" t="s">
        <v>1937</v>
      </c>
      <c r="C266" s="955"/>
      <c r="D266" s="955"/>
      <c r="E266" s="389"/>
      <c r="F266" s="409"/>
      <c r="G266" s="410"/>
      <c r="H266" s="249">
        <f>SUM(H264:H265)</f>
        <v>0.57999999999999996</v>
      </c>
    </row>
    <row r="267" spans="1:10">
      <c r="A267" s="398"/>
      <c r="B267" s="955" t="s">
        <v>538</v>
      </c>
      <c r="C267" s="955"/>
      <c r="D267" s="955"/>
      <c r="E267" s="389"/>
      <c r="F267" s="411" t="s">
        <v>539</v>
      </c>
      <c r="G267" s="410"/>
      <c r="H267" s="249">
        <f t="shared" ref="H267" si="8">ROUND(H266*F267,2)</f>
        <v>0.14000000000000001</v>
      </c>
    </row>
    <row r="268" spans="1:10">
      <c r="A268" s="398"/>
      <c r="B268" s="956" t="s">
        <v>540</v>
      </c>
      <c r="C268" s="956"/>
      <c r="D268" s="956"/>
      <c r="E268" s="740"/>
      <c r="F268" s="768"/>
      <c r="G268" s="769"/>
      <c r="H268" s="770">
        <f>SUM(H266:H267)</f>
        <v>0.72</v>
      </c>
    </row>
    <row r="269" spans="1:10" s="579" customFormat="1">
      <c r="A269" s="601"/>
      <c r="B269" s="780"/>
      <c r="C269" s="780"/>
      <c r="D269" s="780"/>
      <c r="E269" s="740"/>
      <c r="F269" s="768"/>
      <c r="G269" s="769"/>
      <c r="H269" s="770"/>
      <c r="I269" s="400"/>
      <c r="J269" s="404"/>
    </row>
    <row r="270" spans="1:10" s="167" customFormat="1">
      <c r="A270" s="756">
        <v>6</v>
      </c>
      <c r="B270" s="975" t="s">
        <v>1467</v>
      </c>
      <c r="C270" s="975"/>
      <c r="D270" s="975"/>
      <c r="E270" s="975"/>
      <c r="F270" s="975"/>
      <c r="G270" s="766"/>
      <c r="H270" s="767"/>
      <c r="I270" s="326"/>
      <c r="J270" s="344"/>
    </row>
    <row r="271" spans="1:10">
      <c r="A271" s="398"/>
      <c r="B271" s="230"/>
      <c r="C271" s="423"/>
      <c r="D271" s="356"/>
      <c r="E271" s="389"/>
      <c r="F271" s="409"/>
      <c r="G271" s="410"/>
      <c r="H271" s="249"/>
    </row>
    <row r="272" spans="1:10" ht="32.25" customHeight="1">
      <c r="A272" s="403" t="s">
        <v>626</v>
      </c>
      <c r="B272" s="961" t="s">
        <v>2210</v>
      </c>
      <c r="C272" s="961"/>
      <c r="D272" s="961"/>
      <c r="E272" s="961"/>
      <c r="F272" s="961"/>
      <c r="G272" s="490"/>
      <c r="H272" s="403" t="s">
        <v>13</v>
      </c>
    </row>
    <row r="273" spans="1:10" ht="22.5">
      <c r="A273" s="399"/>
      <c r="B273" s="230" t="s">
        <v>2225</v>
      </c>
      <c r="C273" s="231" t="s">
        <v>542</v>
      </c>
      <c r="D273" s="507">
        <v>5.4206000000000002E-3</v>
      </c>
      <c r="E273" s="957">
        <f>Insumos!C1224</f>
        <v>194.3032</v>
      </c>
      <c r="F273" s="957"/>
      <c r="G273" s="965">
        <f t="shared" ref="G273:G274" si="9">D273*E273</f>
        <v>1.05323992592</v>
      </c>
      <c r="H273" s="965"/>
    </row>
    <row r="274" spans="1:10" ht="22.5">
      <c r="A274" s="399"/>
      <c r="B274" s="230" t="s">
        <v>2226</v>
      </c>
      <c r="C274" s="231" t="s">
        <v>2115</v>
      </c>
      <c r="D274" s="507">
        <v>3.9252000000000002E-3</v>
      </c>
      <c r="E274" s="957">
        <f>Insumos!C1225</f>
        <v>86.340800000000002</v>
      </c>
      <c r="F274" s="957"/>
      <c r="G274" s="965">
        <f t="shared" si="9"/>
        <v>0.33890490816000002</v>
      </c>
      <c r="H274" s="965"/>
    </row>
    <row r="275" spans="1:10">
      <c r="A275" s="399"/>
      <c r="B275" s="230" t="s">
        <v>2227</v>
      </c>
      <c r="C275" s="231" t="s">
        <v>542</v>
      </c>
      <c r="D275" s="507">
        <v>9.3457999999999996E-3</v>
      </c>
      <c r="E275" s="957">
        <f>Insumos!C1226</f>
        <v>187.01409999999998</v>
      </c>
      <c r="F275" s="957"/>
      <c r="G275" s="965">
        <f>D275*E275</f>
        <v>1.7477963757799997</v>
      </c>
      <c r="H275" s="965"/>
    </row>
    <row r="276" spans="1:10" ht="22.15" customHeight="1">
      <c r="A276" s="399"/>
      <c r="B276" s="230" t="s">
        <v>2116</v>
      </c>
      <c r="C276" s="231" t="s">
        <v>112</v>
      </c>
      <c r="D276" s="507">
        <v>1.8691599999999999E-2</v>
      </c>
      <c r="E276" s="957">
        <f>Insumos!$C$71</f>
        <v>6.4064000000000005</v>
      </c>
      <c r="F276" s="957"/>
      <c r="G276" s="965">
        <f>D276*E276</f>
        <v>0.11974586624</v>
      </c>
      <c r="H276" s="965"/>
    </row>
    <row r="277" spans="1:10">
      <c r="A277" s="398"/>
      <c r="B277" s="434"/>
      <c r="C277" s="231"/>
      <c r="D277" s="356" t="s">
        <v>536</v>
      </c>
      <c r="E277" s="491"/>
      <c r="F277" s="325"/>
      <c r="G277" s="489"/>
      <c r="H277" s="249">
        <f>SUM(G273:H275)</f>
        <v>3.1399412098599999</v>
      </c>
    </row>
    <row r="278" spans="1:10">
      <c r="A278" s="398"/>
      <c r="B278" s="434"/>
      <c r="C278" s="231"/>
      <c r="D278" s="356" t="s">
        <v>537</v>
      </c>
      <c r="E278" s="491"/>
      <c r="F278" s="325"/>
      <c r="G278" s="489"/>
      <c r="H278" s="249">
        <f>SUM(G276)</f>
        <v>0.11974586624</v>
      </c>
    </row>
    <row r="279" spans="1:10">
      <c r="A279" s="398"/>
      <c r="B279" s="434"/>
      <c r="C279" s="231"/>
      <c r="D279" s="356" t="s">
        <v>1936</v>
      </c>
      <c r="E279" s="491"/>
      <c r="F279" s="325"/>
      <c r="G279" s="489"/>
      <c r="H279" s="250">
        <f>SUM(H277:H278)</f>
        <v>3.2596870761000001</v>
      </c>
    </row>
    <row r="280" spans="1:10">
      <c r="A280" s="398"/>
      <c r="B280" s="434"/>
      <c r="C280" s="231"/>
      <c r="D280" s="356" t="s">
        <v>538</v>
      </c>
      <c r="E280" s="491"/>
      <c r="F280" s="325" t="s">
        <v>539</v>
      </c>
      <c r="G280" s="489"/>
      <c r="H280" s="249">
        <f t="shared" ref="H280" si="10">ROUND(H279*F280,2)</f>
        <v>0.81</v>
      </c>
    </row>
    <row r="281" spans="1:10">
      <c r="A281" s="398"/>
      <c r="B281" s="776"/>
      <c r="C281" s="602"/>
      <c r="D281" s="777" t="s">
        <v>540</v>
      </c>
      <c r="E281" s="740"/>
      <c r="F281" s="778"/>
      <c r="G281" s="779"/>
      <c r="H281" s="770">
        <f>SUM(H279:H280)</f>
        <v>4.0696870761000001</v>
      </c>
    </row>
    <row r="282" spans="1:10" s="579" customFormat="1">
      <c r="A282" s="601"/>
      <c r="B282" s="776"/>
      <c r="C282" s="602"/>
      <c r="D282" s="777"/>
      <c r="E282" s="740"/>
      <c r="F282" s="778"/>
      <c r="G282" s="779"/>
      <c r="H282" s="770"/>
      <c r="I282" s="400"/>
      <c r="J282" s="404"/>
    </row>
    <row r="283" spans="1:10" ht="25.9" customHeight="1">
      <c r="A283" s="403" t="s">
        <v>1160</v>
      </c>
      <c r="B283" s="961" t="s">
        <v>2030</v>
      </c>
      <c r="C283" s="961"/>
      <c r="D283" s="961"/>
      <c r="E283" s="961"/>
      <c r="F283" s="961"/>
      <c r="G283" s="406"/>
      <c r="H283" s="403" t="s">
        <v>2031</v>
      </c>
    </row>
    <row r="284" spans="1:10">
      <c r="B284" s="230" t="s">
        <v>1474</v>
      </c>
      <c r="C284" s="231" t="s">
        <v>2115</v>
      </c>
      <c r="D284" s="436">
        <v>0.01</v>
      </c>
      <c r="E284" s="957">
        <f>Insumos!C1227</f>
        <v>87.36</v>
      </c>
      <c r="F284" s="957"/>
      <c r="G284" s="958">
        <f>ROUND(D284*E284,2)</f>
        <v>0.87</v>
      </c>
      <c r="H284" s="958"/>
    </row>
    <row r="285" spans="1:10">
      <c r="B285" s="955" t="s">
        <v>536</v>
      </c>
      <c r="C285" s="955"/>
      <c r="D285" s="955"/>
      <c r="E285" s="504"/>
      <c r="F285" s="409"/>
      <c r="G285" s="410"/>
      <c r="H285" s="249">
        <f>SUM(G284)</f>
        <v>0.87</v>
      </c>
    </row>
    <row r="286" spans="1:10">
      <c r="B286" s="955" t="s">
        <v>537</v>
      </c>
      <c r="C286" s="955"/>
      <c r="D286" s="955"/>
      <c r="E286" s="504"/>
      <c r="F286" s="409"/>
      <c r="G286" s="410"/>
      <c r="H286" s="249">
        <v>0</v>
      </c>
    </row>
    <row r="287" spans="1:10">
      <c r="B287" s="955" t="s">
        <v>1937</v>
      </c>
      <c r="C287" s="955"/>
      <c r="D287" s="955"/>
      <c r="E287" s="504"/>
      <c r="F287" s="409"/>
      <c r="G287" s="410"/>
      <c r="H287" s="250">
        <f>SUM(H285:H286)</f>
        <v>0.87</v>
      </c>
    </row>
    <row r="288" spans="1:10">
      <c r="B288" s="955" t="s">
        <v>538</v>
      </c>
      <c r="C288" s="955"/>
      <c r="D288" s="955"/>
      <c r="E288" s="504"/>
      <c r="F288" s="411" t="s">
        <v>539</v>
      </c>
      <c r="G288" s="410"/>
      <c r="H288" s="249">
        <f t="shared" ref="H288" si="11">ROUND(H287*F288,2)</f>
        <v>0.22</v>
      </c>
    </row>
    <row r="289" spans="1:10">
      <c r="B289" s="956" t="s">
        <v>540</v>
      </c>
      <c r="C289" s="956"/>
      <c r="D289" s="956"/>
      <c r="E289" s="740"/>
      <c r="F289" s="768"/>
      <c r="G289" s="769"/>
      <c r="H289" s="771">
        <f>SUM(H287:H288)</f>
        <v>1.0900000000000001</v>
      </c>
    </row>
    <row r="290" spans="1:10" s="579" customFormat="1">
      <c r="A290" s="443"/>
      <c r="B290" s="780"/>
      <c r="C290" s="780"/>
      <c r="D290" s="780"/>
      <c r="E290" s="740"/>
      <c r="F290" s="768"/>
      <c r="G290" s="769"/>
      <c r="H290" s="771"/>
      <c r="I290" s="400"/>
      <c r="J290" s="404"/>
    </row>
    <row r="291" spans="1:10" s="406" customFormat="1" ht="15">
      <c r="A291" s="403" t="s">
        <v>316</v>
      </c>
      <c r="B291" s="961" t="s">
        <v>607</v>
      </c>
      <c r="C291" s="961"/>
      <c r="D291" s="961"/>
      <c r="E291" s="961"/>
      <c r="F291" s="961"/>
      <c r="H291" s="403" t="s">
        <v>97</v>
      </c>
      <c r="I291" s="407"/>
      <c r="J291" s="408"/>
    </row>
    <row r="292" spans="1:10">
      <c r="A292" s="398"/>
      <c r="B292" s="230" t="s">
        <v>1108</v>
      </c>
      <c r="C292" s="231" t="s">
        <v>97</v>
      </c>
      <c r="D292" s="436">
        <v>1.2506495535714282</v>
      </c>
      <c r="E292" s="959">
        <f>Insumos!E1234</f>
        <v>4.2151199999999998</v>
      </c>
      <c r="F292" s="959"/>
      <c r="G292" s="958">
        <f>ROUND(D292*E292,2)</f>
        <v>5.27</v>
      </c>
      <c r="H292" s="958"/>
    </row>
    <row r="293" spans="1:10">
      <c r="A293" s="398"/>
      <c r="B293" s="230" t="s">
        <v>535</v>
      </c>
      <c r="C293" s="231" t="s">
        <v>112</v>
      </c>
      <c r="D293" s="436">
        <v>3</v>
      </c>
      <c r="E293" s="959">
        <f>Insumos!$C$71</f>
        <v>6.4064000000000005</v>
      </c>
      <c r="F293" s="959"/>
      <c r="G293" s="958">
        <f>ROUND(D293*E293,2)</f>
        <v>19.22</v>
      </c>
      <c r="H293" s="958"/>
    </row>
    <row r="294" spans="1:10">
      <c r="A294" s="398"/>
      <c r="B294" s="955" t="s">
        <v>536</v>
      </c>
      <c r="C294" s="955"/>
      <c r="D294" s="955"/>
      <c r="E294" s="389"/>
      <c r="F294" s="409"/>
      <c r="G294" s="410"/>
      <c r="H294" s="249">
        <f>SUM(G292)</f>
        <v>5.27</v>
      </c>
    </row>
    <row r="295" spans="1:10">
      <c r="A295" s="398"/>
      <c r="B295" s="955" t="s">
        <v>537</v>
      </c>
      <c r="C295" s="955"/>
      <c r="D295" s="955"/>
      <c r="E295" s="389"/>
      <c r="F295" s="409"/>
      <c r="G295" s="410"/>
      <c r="H295" s="249">
        <f>SUM(G293)</f>
        <v>19.22</v>
      </c>
    </row>
    <row r="296" spans="1:10">
      <c r="A296" s="398"/>
      <c r="B296" s="955" t="s">
        <v>1937</v>
      </c>
      <c r="C296" s="955"/>
      <c r="D296" s="955"/>
      <c r="E296" s="389"/>
      <c r="F296" s="409"/>
      <c r="G296" s="410"/>
      <c r="H296" s="250">
        <f>SUM(H294:H295)</f>
        <v>24.49</v>
      </c>
    </row>
    <row r="297" spans="1:10">
      <c r="A297" s="398"/>
      <c r="B297" s="955" t="s">
        <v>538</v>
      </c>
      <c r="C297" s="955"/>
      <c r="D297" s="955"/>
      <c r="E297" s="389"/>
      <c r="F297" s="411" t="s">
        <v>539</v>
      </c>
      <c r="G297" s="410"/>
      <c r="H297" s="249">
        <f>ROUND(H296*F297,2)</f>
        <v>6.11</v>
      </c>
    </row>
    <row r="298" spans="1:10">
      <c r="A298" s="398"/>
      <c r="B298" s="956" t="s">
        <v>540</v>
      </c>
      <c r="C298" s="956"/>
      <c r="D298" s="956"/>
      <c r="E298" s="740"/>
      <c r="F298" s="768"/>
      <c r="G298" s="769"/>
      <c r="H298" s="771">
        <f>SUM(H296:H297)</f>
        <v>30.599999999999998</v>
      </c>
    </row>
    <row r="299" spans="1:10" s="579" customFormat="1">
      <c r="A299" s="601"/>
      <c r="B299" s="780"/>
      <c r="C299" s="780"/>
      <c r="D299" s="780"/>
      <c r="E299" s="740"/>
      <c r="F299" s="768"/>
      <c r="G299" s="769"/>
      <c r="H299" s="771"/>
      <c r="I299" s="400"/>
      <c r="J299" s="404"/>
    </row>
    <row r="300" spans="1:10" ht="22.5" customHeight="1">
      <c r="A300" s="403" t="s">
        <v>2314</v>
      </c>
      <c r="B300" s="961" t="s">
        <v>1477</v>
      </c>
      <c r="C300" s="961"/>
      <c r="D300" s="961"/>
      <c r="E300" s="961"/>
      <c r="F300" s="961"/>
      <c r="G300" s="390"/>
      <c r="H300" s="403" t="s">
        <v>97</v>
      </c>
    </row>
    <row r="301" spans="1:10">
      <c r="A301" s="399"/>
      <c r="B301" s="230" t="s">
        <v>1478</v>
      </c>
      <c r="C301" s="231" t="s">
        <v>112</v>
      </c>
      <c r="D301" s="356">
        <v>0.01</v>
      </c>
      <c r="E301" s="957">
        <f>Insumos!E1235</f>
        <v>38.001599999999996</v>
      </c>
      <c r="F301" s="957"/>
      <c r="G301" s="965">
        <f t="shared" ref="G301:G307" si="12">ROUND(D301*E301,2)</f>
        <v>0.38</v>
      </c>
      <c r="H301" s="965"/>
    </row>
    <row r="302" spans="1:10">
      <c r="A302" s="399"/>
      <c r="B302" s="230" t="s">
        <v>1479</v>
      </c>
      <c r="C302" s="231" t="s">
        <v>112</v>
      </c>
      <c r="D302" s="356">
        <v>0.01</v>
      </c>
      <c r="E302" s="957">
        <f>Insumos!E1236</f>
        <v>29.483999999999998</v>
      </c>
      <c r="F302" s="957"/>
      <c r="G302" s="965">
        <f t="shared" si="12"/>
        <v>0.28999999999999998</v>
      </c>
      <c r="H302" s="965"/>
    </row>
    <row r="303" spans="1:10">
      <c r="A303" s="399"/>
      <c r="B303" s="230" t="s">
        <v>1480</v>
      </c>
      <c r="C303" s="231" t="s">
        <v>112</v>
      </c>
      <c r="D303" s="356">
        <v>1.0999999999999999E-2</v>
      </c>
      <c r="E303" s="957">
        <f>Insumos!E1237</f>
        <v>12.712700000000002</v>
      </c>
      <c r="F303" s="957"/>
      <c r="G303" s="965">
        <f t="shared" si="12"/>
        <v>0.14000000000000001</v>
      </c>
      <c r="H303" s="965"/>
    </row>
    <row r="304" spans="1:10">
      <c r="A304" s="399"/>
      <c r="B304" s="230" t="s">
        <v>1481</v>
      </c>
      <c r="C304" s="231" t="s">
        <v>112</v>
      </c>
      <c r="D304" s="356">
        <v>4.699999999999995E-3</v>
      </c>
      <c r="E304" s="957">
        <f>Insumos!E1238</f>
        <v>106.47</v>
      </c>
      <c r="F304" s="957"/>
      <c r="G304" s="965">
        <f t="shared" si="12"/>
        <v>0.5</v>
      </c>
      <c r="H304" s="965"/>
    </row>
    <row r="305" spans="1:11">
      <c r="A305" s="399"/>
      <c r="B305" s="230" t="s">
        <v>1482</v>
      </c>
      <c r="C305" s="231" t="s">
        <v>112</v>
      </c>
      <c r="D305" s="356">
        <v>5.0000000000000001E-3</v>
      </c>
      <c r="E305" s="957">
        <f>Insumos!E1239</f>
        <v>63.1449</v>
      </c>
      <c r="F305" s="957"/>
      <c r="G305" s="965">
        <f t="shared" si="12"/>
        <v>0.32</v>
      </c>
      <c r="H305" s="965"/>
    </row>
    <row r="306" spans="1:11">
      <c r="A306" s="399"/>
      <c r="B306" s="230" t="s">
        <v>1483</v>
      </c>
      <c r="C306" s="231" t="s">
        <v>112</v>
      </c>
      <c r="D306" s="356">
        <v>0.01</v>
      </c>
      <c r="E306" s="957">
        <f>Insumos!E1240</f>
        <v>63.854700000000001</v>
      </c>
      <c r="F306" s="957"/>
      <c r="G306" s="965">
        <f t="shared" si="12"/>
        <v>0.64</v>
      </c>
      <c r="H306" s="965"/>
    </row>
    <row r="307" spans="1:11">
      <c r="A307" s="399"/>
      <c r="B307" s="230" t="s">
        <v>535</v>
      </c>
      <c r="C307" s="231" t="s">
        <v>112</v>
      </c>
      <c r="D307" s="356">
        <v>0.03</v>
      </c>
      <c r="E307" s="957">
        <f>Insumos!$C$71</f>
        <v>6.4064000000000005</v>
      </c>
      <c r="F307" s="957"/>
      <c r="G307" s="965">
        <f t="shared" si="12"/>
        <v>0.19</v>
      </c>
      <c r="H307" s="965"/>
    </row>
    <row r="308" spans="1:11">
      <c r="A308" s="398"/>
      <c r="B308" s="434"/>
      <c r="C308" s="231"/>
      <c r="D308" s="356" t="s">
        <v>536</v>
      </c>
      <c r="E308" s="389"/>
      <c r="F308" s="325"/>
      <c r="G308" s="309"/>
      <c r="H308" s="249">
        <f>SUM(G301:H306)</f>
        <v>2.27</v>
      </c>
    </row>
    <row r="309" spans="1:11">
      <c r="A309" s="398"/>
      <c r="B309" s="434"/>
      <c r="C309" s="231"/>
      <c r="D309" s="356" t="s">
        <v>537</v>
      </c>
      <c r="E309" s="389"/>
      <c r="F309" s="325"/>
      <c r="G309" s="309"/>
      <c r="H309" s="328">
        <f>G307</f>
        <v>0.19</v>
      </c>
    </row>
    <row r="310" spans="1:11">
      <c r="A310" s="398"/>
      <c r="B310" s="434"/>
      <c r="C310" s="231"/>
      <c r="D310" s="356" t="s">
        <v>1936</v>
      </c>
      <c r="E310" s="389"/>
      <c r="F310" s="325"/>
      <c r="G310" s="309"/>
      <c r="H310" s="329">
        <f>SUM(H308:H309)</f>
        <v>2.46</v>
      </c>
    </row>
    <row r="311" spans="1:11">
      <c r="A311" s="398"/>
      <c r="B311" s="434"/>
      <c r="C311" s="231"/>
      <c r="D311" s="356" t="s">
        <v>538</v>
      </c>
      <c r="E311" s="389"/>
      <c r="F311" s="325" t="s">
        <v>539</v>
      </c>
      <c r="G311" s="309"/>
      <c r="H311" s="328">
        <f t="shared" ref="H311" si="13">ROUND(H310*F311,2)</f>
        <v>0.61</v>
      </c>
    </row>
    <row r="312" spans="1:11">
      <c r="A312" s="398"/>
      <c r="B312" s="776"/>
      <c r="C312" s="602"/>
      <c r="D312" s="777" t="s">
        <v>540</v>
      </c>
      <c r="E312" s="740"/>
      <c r="F312" s="778"/>
      <c r="G312" s="779"/>
      <c r="H312" s="771">
        <f>SUM(H310:H311)</f>
        <v>3.07</v>
      </c>
    </row>
    <row r="313" spans="1:11" s="579" customFormat="1">
      <c r="A313" s="601"/>
      <c r="B313" s="776"/>
      <c r="C313" s="602"/>
      <c r="D313" s="777"/>
      <c r="E313" s="740"/>
      <c r="F313" s="778"/>
      <c r="G313" s="779"/>
      <c r="H313" s="771"/>
      <c r="I313" s="400"/>
      <c r="J313" s="404"/>
    </row>
    <row r="314" spans="1:11" s="167" customFormat="1">
      <c r="A314" s="756">
        <v>7</v>
      </c>
      <c r="B314" s="975" t="s">
        <v>603</v>
      </c>
      <c r="C314" s="975"/>
      <c r="D314" s="975"/>
      <c r="E314" s="975"/>
      <c r="F314" s="975"/>
      <c r="G314" s="766"/>
      <c r="H314" s="767"/>
      <c r="I314" s="326"/>
      <c r="J314" s="344"/>
    </row>
    <row r="315" spans="1:11" s="406" customFormat="1" ht="15">
      <c r="A315" s="403" t="s">
        <v>2315</v>
      </c>
      <c r="B315" s="961" t="s">
        <v>2243</v>
      </c>
      <c r="C315" s="961"/>
      <c r="D315" s="961"/>
      <c r="E315" s="961"/>
      <c r="F315" s="961"/>
      <c r="H315" s="403" t="s">
        <v>15</v>
      </c>
      <c r="I315" s="407"/>
      <c r="J315" s="408"/>
    </row>
    <row r="316" spans="1:11" s="406" customFormat="1" ht="15">
      <c r="A316" s="580"/>
      <c r="B316" s="574" t="s">
        <v>2245</v>
      </c>
      <c r="C316" s="575" t="s">
        <v>15</v>
      </c>
      <c r="D316" s="588">
        <v>1</v>
      </c>
      <c r="E316" s="966">
        <v>68</v>
      </c>
      <c r="F316" s="966"/>
      <c r="G316" s="965">
        <f t="shared" ref="G316" si="14">ROUND(D316*E316,2)</f>
        <v>68</v>
      </c>
      <c r="H316" s="965"/>
      <c r="I316" s="582"/>
      <c r="J316" s="583"/>
      <c r="K316" s="536"/>
    </row>
    <row r="317" spans="1:11" s="579" customFormat="1">
      <c r="A317" s="601"/>
      <c r="B317" s="595" t="s">
        <v>2270</v>
      </c>
      <c r="C317" s="596" t="s">
        <v>97</v>
      </c>
      <c r="D317" s="610">
        <v>7.5499999999999998E-2</v>
      </c>
      <c r="E317" s="964"/>
      <c r="F317" s="964"/>
      <c r="G317" s="958"/>
      <c r="H317" s="958"/>
      <c r="I317" s="400"/>
      <c r="J317" s="404"/>
    </row>
    <row r="318" spans="1:11" s="579" customFormat="1">
      <c r="A318" s="601"/>
      <c r="B318" s="595" t="s">
        <v>2271</v>
      </c>
      <c r="C318" s="596" t="s">
        <v>112</v>
      </c>
      <c r="D318" s="610">
        <v>6.01</v>
      </c>
      <c r="E318" s="964">
        <f>Insumos!C1223</f>
        <v>7.0525000000000002</v>
      </c>
      <c r="F318" s="964"/>
      <c r="G318" s="958">
        <f>ROUND($D$317*D318*E318,2)</f>
        <v>3.2</v>
      </c>
      <c r="H318" s="958"/>
      <c r="I318" s="400"/>
      <c r="J318" s="404"/>
    </row>
    <row r="319" spans="1:11" s="579" customFormat="1">
      <c r="A319" s="601"/>
      <c r="B319" s="595" t="s">
        <v>2272</v>
      </c>
      <c r="C319" s="596" t="s">
        <v>97</v>
      </c>
      <c r="D319" s="610">
        <v>0.96</v>
      </c>
      <c r="E319" s="964">
        <f>Insumos!C469</f>
        <v>31.85</v>
      </c>
      <c r="F319" s="964"/>
      <c r="G319" s="958">
        <f t="shared" ref="G319:G322" si="15">ROUND($D$317*D319*E319,2)</f>
        <v>2.31</v>
      </c>
      <c r="H319" s="958"/>
      <c r="I319" s="400"/>
      <c r="J319" s="404"/>
    </row>
    <row r="320" spans="1:11" s="579" customFormat="1">
      <c r="A320" s="601"/>
      <c r="B320" s="595" t="s">
        <v>2273</v>
      </c>
      <c r="C320" s="596" t="s">
        <v>16</v>
      </c>
      <c r="D320" s="610">
        <v>600</v>
      </c>
      <c r="E320" s="964">
        <f>Insumos!C465</f>
        <v>0.50050000000000006</v>
      </c>
      <c r="F320" s="964"/>
      <c r="G320" s="958">
        <f t="shared" si="15"/>
        <v>22.67</v>
      </c>
      <c r="H320" s="958"/>
      <c r="I320" s="400"/>
      <c r="J320" s="404"/>
    </row>
    <row r="321" spans="1:11" s="579" customFormat="1" ht="22.5">
      <c r="A321" s="601"/>
      <c r="B321" s="595" t="s">
        <v>2274</v>
      </c>
      <c r="C321" s="596" t="s">
        <v>542</v>
      </c>
      <c r="D321" s="610">
        <v>1.4</v>
      </c>
      <c r="E321" s="964">
        <v>2.8</v>
      </c>
      <c r="F321" s="964"/>
      <c r="G321" s="958">
        <f t="shared" si="15"/>
        <v>0.3</v>
      </c>
      <c r="H321" s="958"/>
      <c r="I321" s="400"/>
      <c r="J321" s="404"/>
    </row>
    <row r="322" spans="1:11" s="579" customFormat="1" ht="22.5">
      <c r="A322" s="601"/>
      <c r="B322" s="595" t="s">
        <v>2275</v>
      </c>
      <c r="C322" s="596" t="s">
        <v>2115</v>
      </c>
      <c r="D322" s="610">
        <v>4.6100000000000003</v>
      </c>
      <c r="E322" s="964">
        <v>0.52</v>
      </c>
      <c r="F322" s="964"/>
      <c r="G322" s="958">
        <f t="shared" si="15"/>
        <v>0.18</v>
      </c>
      <c r="H322" s="958"/>
      <c r="I322" s="400"/>
      <c r="J322" s="404"/>
    </row>
    <row r="323" spans="1:11">
      <c r="A323" s="578"/>
      <c r="B323" s="574" t="s">
        <v>535</v>
      </c>
      <c r="C323" s="575" t="s">
        <v>112</v>
      </c>
      <c r="D323" s="588">
        <v>0.5</v>
      </c>
      <c r="E323" s="964">
        <f>Insumos!C308</f>
        <v>6.4064000000000005</v>
      </c>
      <c r="F323" s="964"/>
      <c r="G323" s="965">
        <f t="shared" ref="G323:G324" si="16">ROUND(D323*E323,2)</f>
        <v>3.2</v>
      </c>
      <c r="H323" s="965"/>
      <c r="I323" s="614"/>
      <c r="J323" s="573"/>
      <c r="K323" s="528"/>
    </row>
    <row r="324" spans="1:11">
      <c r="A324" s="578"/>
      <c r="B324" s="574" t="s">
        <v>576</v>
      </c>
      <c r="C324" s="575" t="s">
        <v>112</v>
      </c>
      <c r="D324" s="588">
        <v>0.2</v>
      </c>
      <c r="E324" s="964">
        <f>Insumos!C394</f>
        <v>8.6722999999999999</v>
      </c>
      <c r="F324" s="964"/>
      <c r="G324" s="965">
        <f t="shared" si="16"/>
        <v>1.73</v>
      </c>
      <c r="H324" s="965"/>
      <c r="I324" s="573"/>
      <c r="J324" s="573"/>
      <c r="K324" s="528"/>
    </row>
    <row r="325" spans="1:11">
      <c r="A325" s="578"/>
      <c r="B325" s="587" t="s">
        <v>536</v>
      </c>
      <c r="C325" s="587"/>
      <c r="D325" s="587"/>
      <c r="E325" s="577"/>
      <c r="F325" s="584"/>
      <c r="G325" s="585"/>
      <c r="H325" s="576">
        <f>SUM(G316)+SUM(G319:H322)</f>
        <v>93.460000000000008</v>
      </c>
      <c r="I325" s="573"/>
      <c r="J325" s="573"/>
      <c r="K325" s="528"/>
    </row>
    <row r="326" spans="1:11">
      <c r="A326" s="578"/>
      <c r="B326" s="587" t="s">
        <v>537</v>
      </c>
      <c r="C326" s="587"/>
      <c r="D326" s="587"/>
      <c r="E326" s="577"/>
      <c r="F326" s="584"/>
      <c r="G326" s="585"/>
      <c r="H326" s="576">
        <f>SUM(G323:H324)+G318</f>
        <v>8.129999999999999</v>
      </c>
      <c r="I326" s="573"/>
      <c r="J326" s="573"/>
      <c r="K326" s="528"/>
    </row>
    <row r="327" spans="1:11">
      <c r="A327" s="578"/>
      <c r="B327" s="587" t="s">
        <v>1937</v>
      </c>
      <c r="C327" s="587"/>
      <c r="D327" s="587"/>
      <c r="E327" s="577"/>
      <c r="F327" s="584"/>
      <c r="G327" s="585"/>
      <c r="H327" s="599">
        <f>SUM(H325:H326)</f>
        <v>101.59</v>
      </c>
      <c r="I327" s="573"/>
      <c r="J327" s="573"/>
      <c r="K327" s="528"/>
    </row>
    <row r="328" spans="1:11">
      <c r="A328" s="578"/>
      <c r="B328" s="587" t="s">
        <v>538</v>
      </c>
      <c r="C328" s="587"/>
      <c r="D328" s="587"/>
      <c r="E328" s="577"/>
      <c r="F328" s="586" t="s">
        <v>539</v>
      </c>
      <c r="G328" s="585"/>
      <c r="H328" s="598">
        <f t="shared" ref="H328" si="17">ROUND(H327*F328,2)</f>
        <v>25.36</v>
      </c>
      <c r="I328" s="573"/>
      <c r="J328" s="573"/>
      <c r="K328" s="528"/>
    </row>
    <row r="329" spans="1:11">
      <c r="A329" s="578"/>
      <c r="B329" s="780" t="s">
        <v>540</v>
      </c>
      <c r="C329" s="780"/>
      <c r="D329" s="780"/>
      <c r="E329" s="740"/>
      <c r="F329" s="768"/>
      <c r="G329" s="769"/>
      <c r="H329" s="771">
        <f>SUM(H327:H328)</f>
        <v>126.95</v>
      </c>
      <c r="I329" s="573"/>
      <c r="J329" s="573"/>
      <c r="K329" s="528"/>
    </row>
    <row r="330" spans="1:11" s="579" customFormat="1">
      <c r="A330" s="601"/>
      <c r="B330" s="780"/>
      <c r="C330" s="780"/>
      <c r="D330" s="780"/>
      <c r="E330" s="740"/>
      <c r="F330" s="768"/>
      <c r="G330" s="769"/>
      <c r="H330" s="771"/>
      <c r="I330" s="589"/>
      <c r="J330" s="589"/>
    </row>
    <row r="331" spans="1:11" s="536" customFormat="1" ht="15">
      <c r="A331" s="535" t="s">
        <v>395</v>
      </c>
      <c r="B331" s="961" t="s">
        <v>2244</v>
      </c>
      <c r="C331" s="961"/>
      <c r="D331" s="961"/>
      <c r="E331" s="961"/>
      <c r="F331" s="961"/>
      <c r="H331" s="535" t="s">
        <v>15</v>
      </c>
      <c r="I331" s="537"/>
      <c r="J331" s="538"/>
    </row>
    <row r="332" spans="1:11" s="536" customFormat="1" ht="15">
      <c r="A332" s="602"/>
      <c r="B332" s="595" t="s">
        <v>2246</v>
      </c>
      <c r="C332" s="596" t="s">
        <v>15</v>
      </c>
      <c r="D332" s="610">
        <v>1</v>
      </c>
      <c r="E332" s="966">
        <v>80</v>
      </c>
      <c r="F332" s="966"/>
      <c r="G332" s="965">
        <f>ROUND(D332*E332,2)</f>
        <v>80</v>
      </c>
      <c r="H332" s="965"/>
      <c r="I332" s="603"/>
      <c r="J332" s="604"/>
      <c r="K332" s="581"/>
    </row>
    <row r="333" spans="1:11" s="579" customFormat="1">
      <c r="A333" s="601"/>
      <c r="B333" s="595" t="s">
        <v>2270</v>
      </c>
      <c r="C333" s="596" t="s">
        <v>97</v>
      </c>
      <c r="D333" s="610">
        <v>0.12559999999999999</v>
      </c>
      <c r="E333" s="964"/>
      <c r="F333" s="964"/>
      <c r="G333" s="958"/>
      <c r="H333" s="958"/>
      <c r="I333" s="400"/>
      <c r="J333" s="404"/>
    </row>
    <row r="334" spans="1:11" s="579" customFormat="1">
      <c r="A334" s="601"/>
      <c r="B334" s="595" t="s">
        <v>2271</v>
      </c>
      <c r="C334" s="596" t="s">
        <v>112</v>
      </c>
      <c r="D334" s="610">
        <v>6.01</v>
      </c>
      <c r="E334" s="964">
        <f>Insumos!C1223</f>
        <v>7.0525000000000002</v>
      </c>
      <c r="F334" s="964"/>
      <c r="G334" s="958">
        <f>ROUND($D$333*D334*E334,2)</f>
        <v>5.32</v>
      </c>
      <c r="H334" s="958"/>
      <c r="I334" s="400"/>
      <c r="J334" s="404"/>
    </row>
    <row r="335" spans="1:11" s="579" customFormat="1">
      <c r="A335" s="601"/>
      <c r="B335" s="595" t="s">
        <v>2272</v>
      </c>
      <c r="C335" s="596" t="s">
        <v>97</v>
      </c>
      <c r="D335" s="610">
        <v>0.96</v>
      </c>
      <c r="E335" s="964">
        <f>Insumos!C469</f>
        <v>31.85</v>
      </c>
      <c r="F335" s="964"/>
      <c r="G335" s="958">
        <f t="shared" ref="G335:G338" si="18">ROUND($D$333*D335*E335,2)</f>
        <v>3.84</v>
      </c>
      <c r="H335" s="958"/>
      <c r="I335" s="400"/>
      <c r="J335" s="404"/>
    </row>
    <row r="336" spans="1:11" s="579" customFormat="1">
      <c r="A336" s="601"/>
      <c r="B336" s="595" t="s">
        <v>2273</v>
      </c>
      <c r="C336" s="596" t="s">
        <v>16</v>
      </c>
      <c r="D336" s="610">
        <v>600</v>
      </c>
      <c r="E336" s="964">
        <f>Insumos!C465</f>
        <v>0.50050000000000006</v>
      </c>
      <c r="F336" s="964"/>
      <c r="G336" s="958">
        <f t="shared" si="18"/>
        <v>37.72</v>
      </c>
      <c r="H336" s="958"/>
      <c r="I336" s="400"/>
      <c r="J336" s="404"/>
    </row>
    <row r="337" spans="1:11" s="579" customFormat="1" ht="22.5">
      <c r="A337" s="601"/>
      <c r="B337" s="595" t="s">
        <v>2274</v>
      </c>
      <c r="C337" s="596" t="s">
        <v>542</v>
      </c>
      <c r="D337" s="610">
        <v>1.4</v>
      </c>
      <c r="E337" s="964">
        <v>2.8</v>
      </c>
      <c r="F337" s="964"/>
      <c r="G337" s="958">
        <f>ROUND($D$333*D337*E337,2)</f>
        <v>0.49</v>
      </c>
      <c r="H337" s="958"/>
      <c r="I337" s="400"/>
      <c r="J337" s="404"/>
    </row>
    <row r="338" spans="1:11" s="579" customFormat="1" ht="22.5">
      <c r="A338" s="601"/>
      <c r="B338" s="595" t="s">
        <v>2275</v>
      </c>
      <c r="C338" s="596" t="s">
        <v>2115</v>
      </c>
      <c r="D338" s="610">
        <v>4.6100000000000003</v>
      </c>
      <c r="E338" s="964">
        <v>0.52</v>
      </c>
      <c r="F338" s="964"/>
      <c r="G338" s="958">
        <f t="shared" si="18"/>
        <v>0.3</v>
      </c>
      <c r="H338" s="958"/>
      <c r="I338" s="400"/>
      <c r="J338" s="404"/>
    </row>
    <row r="339" spans="1:11" s="528" customFormat="1">
      <c r="A339" s="601"/>
      <c r="B339" s="595" t="s">
        <v>535</v>
      </c>
      <c r="C339" s="596" t="s">
        <v>112</v>
      </c>
      <c r="D339" s="610">
        <v>0.5</v>
      </c>
      <c r="E339" s="964">
        <f>Insumos!C324</f>
        <v>6.4064000000000005</v>
      </c>
      <c r="F339" s="964"/>
      <c r="G339" s="965">
        <f t="shared" ref="G339:G340" si="19">ROUND(D339*E339,2)</f>
        <v>3.2</v>
      </c>
      <c r="H339" s="965"/>
      <c r="I339" s="589"/>
      <c r="J339" s="589"/>
      <c r="K339" s="579"/>
    </row>
    <row r="340" spans="1:11" s="528" customFormat="1">
      <c r="A340" s="601"/>
      <c r="B340" s="595" t="s">
        <v>576</v>
      </c>
      <c r="C340" s="596" t="s">
        <v>112</v>
      </c>
      <c r="D340" s="610">
        <v>0.2</v>
      </c>
      <c r="E340" s="964">
        <f>Insumos!C394</f>
        <v>8.6722999999999999</v>
      </c>
      <c r="F340" s="964"/>
      <c r="G340" s="965">
        <f t="shared" si="19"/>
        <v>1.73</v>
      </c>
      <c r="H340" s="965"/>
      <c r="I340" s="589"/>
      <c r="J340" s="589"/>
      <c r="K340" s="579"/>
    </row>
    <row r="341" spans="1:11" s="528" customFormat="1">
      <c r="A341" s="601"/>
      <c r="B341" s="608" t="s">
        <v>536</v>
      </c>
      <c r="C341" s="608"/>
      <c r="D341" s="608"/>
      <c r="E341" s="600"/>
      <c r="F341" s="605"/>
      <c r="G341" s="606"/>
      <c r="H341" s="598">
        <f>SUM(G332)+SUM(G335:H338)</f>
        <v>122.35</v>
      </c>
      <c r="I341" s="589"/>
      <c r="J341" s="589"/>
      <c r="K341" s="579"/>
    </row>
    <row r="342" spans="1:11" s="528" customFormat="1">
      <c r="A342" s="601"/>
      <c r="B342" s="608" t="s">
        <v>537</v>
      </c>
      <c r="C342" s="608"/>
      <c r="D342" s="608"/>
      <c r="E342" s="600"/>
      <c r="F342" s="605"/>
      <c r="G342" s="606"/>
      <c r="H342" s="598">
        <f>SUM(G339:H340)+G334</f>
        <v>10.25</v>
      </c>
      <c r="I342" s="589"/>
      <c r="J342" s="589"/>
      <c r="K342" s="579"/>
    </row>
    <row r="343" spans="1:11" s="528" customFormat="1">
      <c r="A343" s="601"/>
      <c r="B343" s="608" t="s">
        <v>1937</v>
      </c>
      <c r="C343" s="608"/>
      <c r="D343" s="608"/>
      <c r="E343" s="600"/>
      <c r="F343" s="605"/>
      <c r="G343" s="606"/>
      <c r="H343" s="599">
        <f>SUM(H341:H342)</f>
        <v>132.6</v>
      </c>
      <c r="I343" s="589"/>
      <c r="J343" s="589"/>
      <c r="K343" s="579"/>
    </row>
    <row r="344" spans="1:11" s="528" customFormat="1">
      <c r="A344" s="601"/>
      <c r="B344" s="608" t="s">
        <v>538</v>
      </c>
      <c r="C344" s="608"/>
      <c r="D344" s="608"/>
      <c r="E344" s="600"/>
      <c r="F344" s="607" t="s">
        <v>539</v>
      </c>
      <c r="G344" s="606"/>
      <c r="H344" s="598">
        <f t="shared" ref="H344" si="20">ROUND(H343*F344,2)</f>
        <v>33.1</v>
      </c>
      <c r="I344" s="589"/>
      <c r="J344" s="589"/>
      <c r="K344" s="579"/>
    </row>
    <row r="345" spans="1:11" s="528" customFormat="1">
      <c r="A345" s="601"/>
      <c r="B345" s="780" t="s">
        <v>540</v>
      </c>
      <c r="C345" s="780"/>
      <c r="D345" s="780"/>
      <c r="E345" s="740"/>
      <c r="F345" s="768"/>
      <c r="G345" s="769"/>
      <c r="H345" s="771">
        <f>SUM(H343:H344)</f>
        <v>165.7</v>
      </c>
      <c r="I345" s="589"/>
      <c r="J345" s="589"/>
      <c r="K345" s="579"/>
    </row>
    <row r="346" spans="1:11" s="579" customFormat="1">
      <c r="A346" s="601"/>
      <c r="B346" s="780"/>
      <c r="C346" s="780"/>
      <c r="D346" s="780"/>
      <c r="E346" s="740"/>
      <c r="F346" s="768"/>
      <c r="G346" s="769"/>
      <c r="H346" s="771"/>
      <c r="I346" s="589"/>
      <c r="J346" s="589"/>
    </row>
    <row r="347" spans="1:11" s="406" customFormat="1" ht="25.9" customHeight="1">
      <c r="A347" s="403" t="s">
        <v>2316</v>
      </c>
      <c r="B347" s="961" t="s">
        <v>1560</v>
      </c>
      <c r="C347" s="961"/>
      <c r="D347" s="961"/>
      <c r="E347" s="961"/>
      <c r="F347" s="961"/>
      <c r="H347" s="403" t="s">
        <v>97</v>
      </c>
      <c r="I347" s="407"/>
      <c r="J347" s="408"/>
    </row>
    <row r="348" spans="1:11">
      <c r="A348" s="398"/>
      <c r="B348" s="230" t="s">
        <v>535</v>
      </c>
      <c r="C348" s="231" t="s">
        <v>112</v>
      </c>
      <c r="D348" s="436">
        <v>2.9309477647058824</v>
      </c>
      <c r="E348" s="959">
        <f>Insumos!C93</f>
        <v>6.4064000000000005</v>
      </c>
      <c r="F348" s="959"/>
      <c r="G348" s="958">
        <f>ROUND(D348*E348,2)</f>
        <v>18.78</v>
      </c>
      <c r="H348" s="958"/>
    </row>
    <row r="349" spans="1:11">
      <c r="A349" s="398"/>
      <c r="B349" s="955" t="s">
        <v>536</v>
      </c>
      <c r="C349" s="955"/>
      <c r="D349" s="955"/>
      <c r="E349" s="389"/>
      <c r="F349" s="409"/>
      <c r="G349" s="410"/>
      <c r="H349" s="249">
        <v>0</v>
      </c>
    </row>
    <row r="350" spans="1:11">
      <c r="A350" s="398"/>
      <c r="B350" s="955" t="s">
        <v>537</v>
      </c>
      <c r="C350" s="955"/>
      <c r="D350" s="955"/>
      <c r="E350" s="389"/>
      <c r="F350" s="409"/>
      <c r="G350" s="410"/>
      <c r="H350" s="249">
        <f>SUM(G347:H348)</f>
        <v>18.78</v>
      </c>
    </row>
    <row r="351" spans="1:11">
      <c r="A351" s="398"/>
      <c r="B351" s="955" t="s">
        <v>1937</v>
      </c>
      <c r="C351" s="955"/>
      <c r="D351" s="955"/>
      <c r="E351" s="389"/>
      <c r="F351" s="409"/>
      <c r="G351" s="410"/>
      <c r="H351" s="250">
        <f>SUM(H349:H350)</f>
        <v>18.78</v>
      </c>
    </row>
    <row r="352" spans="1:11">
      <c r="A352" s="398"/>
      <c r="B352" s="955" t="s">
        <v>538</v>
      </c>
      <c r="C352" s="955"/>
      <c r="D352" s="955"/>
      <c r="E352" s="389"/>
      <c r="F352" s="411" t="s">
        <v>539</v>
      </c>
      <c r="G352" s="410"/>
      <c r="H352" s="249">
        <f>ROUND(H351*F352,2)</f>
        <v>4.6900000000000004</v>
      </c>
    </row>
    <row r="353" spans="1:11">
      <c r="A353" s="398"/>
      <c r="B353" s="956" t="s">
        <v>540</v>
      </c>
      <c r="C353" s="956"/>
      <c r="D353" s="956"/>
      <c r="E353" s="740"/>
      <c r="F353" s="768"/>
      <c r="G353" s="769"/>
      <c r="H353" s="771">
        <f>SUM(H351:H352)</f>
        <v>23.470000000000002</v>
      </c>
    </row>
    <row r="354" spans="1:11" s="579" customFormat="1">
      <c r="A354" s="601"/>
      <c r="B354" s="780"/>
      <c r="C354" s="780"/>
      <c r="D354" s="780"/>
      <c r="E354" s="740"/>
      <c r="F354" s="768"/>
      <c r="G354" s="769"/>
      <c r="H354" s="771"/>
      <c r="I354" s="400"/>
      <c r="J354" s="404"/>
    </row>
    <row r="355" spans="1:11" s="406" customFormat="1" ht="15">
      <c r="A355" s="403" t="s">
        <v>2317</v>
      </c>
      <c r="B355" s="961" t="s">
        <v>607</v>
      </c>
      <c r="C355" s="961"/>
      <c r="D355" s="961"/>
      <c r="E355" s="961"/>
      <c r="F355" s="961"/>
      <c r="H355" s="403" t="s">
        <v>97</v>
      </c>
      <c r="I355" s="407"/>
      <c r="J355" s="408"/>
    </row>
    <row r="356" spans="1:11">
      <c r="A356" s="398"/>
      <c r="B356" s="230" t="s">
        <v>1108</v>
      </c>
      <c r="C356" s="231" t="s">
        <v>97</v>
      </c>
      <c r="D356" s="436">
        <v>1.2506495535714282</v>
      </c>
      <c r="E356" s="959">
        <f>Insumos!C94</f>
        <v>4.2151199999999998</v>
      </c>
      <c r="F356" s="959"/>
      <c r="G356" s="958">
        <f>ROUND(D356*E356,2)</f>
        <v>5.27</v>
      </c>
      <c r="H356" s="958"/>
    </row>
    <row r="357" spans="1:11">
      <c r="A357" s="398"/>
      <c r="B357" s="230" t="s">
        <v>535</v>
      </c>
      <c r="C357" s="231" t="s">
        <v>112</v>
      </c>
      <c r="D357" s="436">
        <v>3</v>
      </c>
      <c r="E357" s="959">
        <f>Insumos!C95</f>
        <v>6.4064000000000005</v>
      </c>
      <c r="F357" s="959"/>
      <c r="G357" s="958">
        <f>ROUND(D357*E357,2)</f>
        <v>19.22</v>
      </c>
      <c r="H357" s="958"/>
    </row>
    <row r="358" spans="1:11">
      <c r="A358" s="398"/>
      <c r="B358" s="955" t="s">
        <v>536</v>
      </c>
      <c r="C358" s="955"/>
      <c r="D358" s="955"/>
      <c r="E358" s="389"/>
      <c r="F358" s="409"/>
      <c r="G358" s="410"/>
      <c r="H358" s="249">
        <f>SUM(G356)</f>
        <v>5.27</v>
      </c>
    </row>
    <row r="359" spans="1:11">
      <c r="A359" s="398"/>
      <c r="B359" s="955" t="s">
        <v>537</v>
      </c>
      <c r="C359" s="955"/>
      <c r="D359" s="955"/>
      <c r="E359" s="389"/>
      <c r="F359" s="409"/>
      <c r="G359" s="410"/>
      <c r="H359" s="249">
        <f>SUM(G357)</f>
        <v>19.22</v>
      </c>
    </row>
    <row r="360" spans="1:11">
      <c r="A360" s="398"/>
      <c r="B360" s="955" t="s">
        <v>1937</v>
      </c>
      <c r="C360" s="955"/>
      <c r="D360" s="955"/>
      <c r="E360" s="389"/>
      <c r="F360" s="409"/>
      <c r="G360" s="410"/>
      <c r="H360" s="250">
        <f>SUM(H358:H359)</f>
        <v>24.49</v>
      </c>
    </row>
    <row r="361" spans="1:11">
      <c r="A361" s="398"/>
      <c r="B361" s="955" t="s">
        <v>538</v>
      </c>
      <c r="C361" s="955"/>
      <c r="D361" s="955"/>
      <c r="E361" s="389"/>
      <c r="F361" s="411" t="s">
        <v>539</v>
      </c>
      <c r="G361" s="410"/>
      <c r="H361" s="249">
        <f>ROUND(H360*F361,2)</f>
        <v>6.11</v>
      </c>
    </row>
    <row r="362" spans="1:11">
      <c r="A362" s="398"/>
      <c r="B362" s="956" t="s">
        <v>540</v>
      </c>
      <c r="C362" s="956"/>
      <c r="D362" s="956"/>
      <c r="E362" s="740"/>
      <c r="F362" s="768"/>
      <c r="G362" s="769"/>
      <c r="H362" s="771">
        <f>SUM(H360:H361)</f>
        <v>30.599999999999998</v>
      </c>
    </row>
    <row r="363" spans="1:11" s="579" customFormat="1">
      <c r="A363" s="601"/>
      <c r="B363" s="780"/>
      <c r="C363" s="780"/>
      <c r="D363" s="780"/>
      <c r="E363" s="740"/>
      <c r="F363" s="768"/>
      <c r="G363" s="769"/>
      <c r="H363" s="771"/>
      <c r="I363" s="400"/>
      <c r="J363" s="404"/>
    </row>
    <row r="364" spans="1:11" s="406" customFormat="1" ht="16.149999999999999" customHeight="1">
      <c r="A364" s="535" t="s">
        <v>2318</v>
      </c>
      <c r="B364" s="961" t="s">
        <v>2233</v>
      </c>
      <c r="C364" s="961"/>
      <c r="D364" s="961"/>
      <c r="E364" s="961"/>
      <c r="F364" s="961"/>
      <c r="G364" s="536"/>
      <c r="H364" s="535" t="s">
        <v>13</v>
      </c>
      <c r="I364" s="537"/>
      <c r="J364" s="538"/>
      <c r="K364" s="529"/>
    </row>
    <row r="365" spans="1:11">
      <c r="A365" s="534"/>
      <c r="B365" s="531" t="s">
        <v>531</v>
      </c>
      <c r="C365" s="532" t="s">
        <v>15</v>
      </c>
      <c r="D365" s="542">
        <v>0.27500000000000002</v>
      </c>
      <c r="E365" s="959">
        <f>Insumos!C10</f>
        <v>4.5409000000000006</v>
      </c>
      <c r="F365" s="959"/>
      <c r="G365" s="958">
        <f t="shared" ref="G365:G371" si="21">ROUND(D365*E365,2)</f>
        <v>1.25</v>
      </c>
      <c r="H365" s="958"/>
      <c r="I365" s="530"/>
      <c r="J365" s="530"/>
      <c r="K365" s="528"/>
    </row>
    <row r="366" spans="1:11">
      <c r="A366" s="534"/>
      <c r="B366" s="531" t="s">
        <v>2234</v>
      </c>
      <c r="C366" s="532" t="s">
        <v>16</v>
      </c>
      <c r="D366" s="542">
        <v>0.15</v>
      </c>
      <c r="E366" s="959">
        <f>Insumos!C81</f>
        <v>6.5156000000000001</v>
      </c>
      <c r="F366" s="959"/>
      <c r="G366" s="958">
        <f t="shared" si="21"/>
        <v>0.98</v>
      </c>
      <c r="H366" s="958"/>
      <c r="I366" s="530"/>
      <c r="J366" s="530"/>
      <c r="K366" s="528"/>
    </row>
    <row r="367" spans="1:11">
      <c r="A367" s="534"/>
      <c r="B367" s="531" t="s">
        <v>611</v>
      </c>
      <c r="C367" s="532" t="s">
        <v>612</v>
      </c>
      <c r="D367" s="542">
        <v>0.1</v>
      </c>
      <c r="E367" s="959">
        <f>Insumos!C100</f>
        <v>8.0899000000000001</v>
      </c>
      <c r="F367" s="959"/>
      <c r="G367" s="958">
        <f t="shared" si="21"/>
        <v>0.81</v>
      </c>
      <c r="H367" s="958"/>
      <c r="I367" s="530"/>
      <c r="J367" s="530"/>
      <c r="K367" s="528"/>
    </row>
    <row r="368" spans="1:11">
      <c r="A368" s="534"/>
      <c r="B368" s="531" t="s">
        <v>2235</v>
      </c>
      <c r="C368" s="532" t="s">
        <v>15</v>
      </c>
      <c r="D368" s="542">
        <v>0.24</v>
      </c>
      <c r="E368" s="959">
        <f>Insumos!C1228</f>
        <v>1.6016000000000001</v>
      </c>
      <c r="F368" s="959"/>
      <c r="G368" s="958">
        <f t="shared" si="21"/>
        <v>0.38</v>
      </c>
      <c r="H368" s="958"/>
      <c r="I368" s="530"/>
      <c r="J368" s="530"/>
      <c r="K368" s="528"/>
    </row>
    <row r="369" spans="1:11">
      <c r="A369" s="534"/>
      <c r="B369" s="531" t="s">
        <v>2236</v>
      </c>
      <c r="C369" s="532" t="s">
        <v>15</v>
      </c>
      <c r="D369" s="542">
        <v>0.79200000000000004</v>
      </c>
      <c r="E369" s="959">
        <f>Insumos!C1219</f>
        <v>7.0343000000000009</v>
      </c>
      <c r="F369" s="959"/>
      <c r="G369" s="958">
        <f t="shared" si="21"/>
        <v>5.57</v>
      </c>
      <c r="H369" s="958"/>
      <c r="I369" s="530"/>
      <c r="J369" s="530"/>
      <c r="K369" s="528"/>
    </row>
    <row r="370" spans="1:11">
      <c r="A370" s="534"/>
      <c r="B370" s="531" t="s">
        <v>510</v>
      </c>
      <c r="C370" s="532" t="s">
        <v>112</v>
      </c>
      <c r="D370" s="542">
        <v>0.22500000000000001</v>
      </c>
      <c r="E370" s="959">
        <f>Insumos!C1079</f>
        <v>6.5065000000000008</v>
      </c>
      <c r="F370" s="959"/>
      <c r="G370" s="958">
        <f t="shared" si="21"/>
        <v>1.46</v>
      </c>
      <c r="H370" s="958"/>
      <c r="I370" s="530"/>
      <c r="J370" s="530"/>
      <c r="K370" s="528"/>
    </row>
    <row r="371" spans="1:11">
      <c r="A371" s="534"/>
      <c r="B371" s="531" t="s">
        <v>1247</v>
      </c>
      <c r="C371" s="532" t="s">
        <v>112</v>
      </c>
      <c r="D371" s="542">
        <v>0.9</v>
      </c>
      <c r="E371" s="959">
        <f>Insumos!C1010</f>
        <v>8.6722999999999999</v>
      </c>
      <c r="F371" s="959"/>
      <c r="G371" s="958">
        <f t="shared" si="21"/>
        <v>7.81</v>
      </c>
      <c r="H371" s="958"/>
      <c r="I371" s="530"/>
      <c r="J371" s="530"/>
      <c r="K371" s="528"/>
    </row>
    <row r="372" spans="1:11">
      <c r="A372" s="534"/>
      <c r="B372" s="955" t="s">
        <v>536</v>
      </c>
      <c r="C372" s="955"/>
      <c r="D372" s="955"/>
      <c r="E372" s="533"/>
      <c r="F372" s="539"/>
      <c r="G372" s="540"/>
      <c r="H372" s="597">
        <f>SUM(G365:H369)</f>
        <v>8.99</v>
      </c>
      <c r="I372" s="530"/>
      <c r="J372" s="530"/>
      <c r="K372" s="528"/>
    </row>
    <row r="373" spans="1:11">
      <c r="A373" s="534"/>
      <c r="B373" s="955" t="s">
        <v>537</v>
      </c>
      <c r="C373" s="955"/>
      <c r="D373" s="955"/>
      <c r="E373" s="533"/>
      <c r="F373" s="539"/>
      <c r="G373" s="540"/>
      <c r="H373" s="597">
        <f>SUM(G370:H371)</f>
        <v>9.27</v>
      </c>
      <c r="I373" s="530"/>
      <c r="J373" s="530"/>
      <c r="K373" s="528"/>
    </row>
    <row r="374" spans="1:11">
      <c r="A374" s="534"/>
      <c r="B374" s="955" t="s">
        <v>1937</v>
      </c>
      <c r="C374" s="955"/>
      <c r="D374" s="955"/>
      <c r="E374" s="533"/>
      <c r="F374" s="539"/>
      <c r="G374" s="540"/>
      <c r="H374" s="250">
        <f>SUM(H372:H373)</f>
        <v>18.259999999999998</v>
      </c>
      <c r="I374" s="530"/>
      <c r="J374" s="530"/>
      <c r="K374" s="528"/>
    </row>
    <row r="375" spans="1:11">
      <c r="A375" s="534"/>
      <c r="B375" s="955" t="s">
        <v>538</v>
      </c>
      <c r="C375" s="955"/>
      <c r="D375" s="955"/>
      <c r="E375" s="533"/>
      <c r="F375" s="541" t="s">
        <v>539</v>
      </c>
      <c r="G375" s="540"/>
      <c r="H375" s="597">
        <f>ROUND(H374*F375,2)</f>
        <v>4.5599999999999996</v>
      </c>
      <c r="I375" s="530"/>
      <c r="J375" s="530"/>
      <c r="K375" s="528"/>
    </row>
    <row r="376" spans="1:11">
      <c r="A376" s="534"/>
      <c r="B376" s="956" t="s">
        <v>540</v>
      </c>
      <c r="C376" s="956"/>
      <c r="D376" s="956"/>
      <c r="E376" s="740"/>
      <c r="F376" s="768"/>
      <c r="G376" s="769"/>
      <c r="H376" s="771">
        <f>SUM(H374:H375)</f>
        <v>22.819999999999997</v>
      </c>
      <c r="I376" s="530"/>
      <c r="J376" s="530"/>
      <c r="K376" s="528"/>
    </row>
    <row r="377" spans="1:11" s="579" customFormat="1">
      <c r="A377" s="601"/>
      <c r="B377" s="780"/>
      <c r="C377" s="780"/>
      <c r="D377" s="780"/>
      <c r="E377" s="740"/>
      <c r="F377" s="768"/>
      <c r="G377" s="769"/>
      <c r="H377" s="771"/>
      <c r="I377" s="589"/>
      <c r="J377" s="589"/>
    </row>
    <row r="378" spans="1:11" s="406" customFormat="1" ht="25.9" customHeight="1">
      <c r="A378" s="403" t="s">
        <v>2319</v>
      </c>
      <c r="B378" s="961" t="s">
        <v>613</v>
      </c>
      <c r="C378" s="961"/>
      <c r="D378" s="961"/>
      <c r="E378" s="961"/>
      <c r="F378" s="961"/>
      <c r="H378" s="403" t="s">
        <v>16</v>
      </c>
      <c r="I378" s="407"/>
      <c r="J378" s="408"/>
    </row>
    <row r="379" spans="1:11">
      <c r="A379" s="398"/>
      <c r="B379" s="230" t="s">
        <v>614</v>
      </c>
      <c r="C379" s="231" t="s">
        <v>16</v>
      </c>
      <c r="D379" s="401">
        <v>1.0963333333333334</v>
      </c>
      <c r="E379" s="959">
        <f>Insumos!C103</f>
        <v>3.4579999999999997</v>
      </c>
      <c r="F379" s="959"/>
      <c r="G379" s="958">
        <f>ROUND(D379*E379,2)</f>
        <v>3.79</v>
      </c>
      <c r="H379" s="958"/>
    </row>
    <row r="380" spans="1:11">
      <c r="A380" s="398"/>
      <c r="B380" s="230" t="s">
        <v>597</v>
      </c>
      <c r="C380" s="231" t="s">
        <v>16</v>
      </c>
      <c r="D380" s="401">
        <v>0.02</v>
      </c>
      <c r="E380" s="959">
        <f>Insumos!C104</f>
        <v>6.8250000000000002</v>
      </c>
      <c r="F380" s="959"/>
      <c r="G380" s="958">
        <f>ROUND(D380*E380,2)</f>
        <v>0.14000000000000001</v>
      </c>
      <c r="H380" s="958"/>
    </row>
    <row r="381" spans="1:11">
      <c r="A381" s="398"/>
      <c r="B381" s="230" t="s">
        <v>615</v>
      </c>
      <c r="C381" s="231" t="s">
        <v>112</v>
      </c>
      <c r="D381" s="401">
        <v>0.1</v>
      </c>
      <c r="E381" s="959">
        <f>Insumos!C105</f>
        <v>8.6722999999999999</v>
      </c>
      <c r="F381" s="959"/>
      <c r="G381" s="958">
        <f>ROUND(D381*E381,2)</f>
        <v>0.87</v>
      </c>
      <c r="H381" s="958"/>
    </row>
    <row r="382" spans="1:11">
      <c r="A382" s="398"/>
      <c r="B382" s="230" t="s">
        <v>535</v>
      </c>
      <c r="C382" s="231" t="s">
        <v>112</v>
      </c>
      <c r="D382" s="401">
        <v>0.1</v>
      </c>
      <c r="E382" s="959">
        <f>Insumos!C106</f>
        <v>6.4064000000000005</v>
      </c>
      <c r="F382" s="959"/>
      <c r="G382" s="958">
        <f>ROUND(D382*E382,2)</f>
        <v>0.64</v>
      </c>
      <c r="H382" s="958"/>
    </row>
    <row r="383" spans="1:11">
      <c r="A383" s="398"/>
      <c r="B383" s="955" t="s">
        <v>536</v>
      </c>
      <c r="C383" s="955"/>
      <c r="D383" s="955"/>
      <c r="E383" s="389"/>
      <c r="F383" s="409"/>
      <c r="G383" s="410"/>
      <c r="H383" s="249">
        <f>SUM(G379:H380)</f>
        <v>3.93</v>
      </c>
    </row>
    <row r="384" spans="1:11">
      <c r="A384" s="398"/>
      <c r="B384" s="955" t="s">
        <v>537</v>
      </c>
      <c r="C384" s="955"/>
      <c r="D384" s="955"/>
      <c r="E384" s="389"/>
      <c r="F384" s="409"/>
      <c r="G384" s="410"/>
      <c r="H384" s="328">
        <f>SUM(G381:H382)</f>
        <v>1.51</v>
      </c>
    </row>
    <row r="385" spans="1:10">
      <c r="A385" s="398"/>
      <c r="B385" s="955" t="s">
        <v>1937</v>
      </c>
      <c r="C385" s="955"/>
      <c r="D385" s="955"/>
      <c r="E385" s="389"/>
      <c r="F385" s="409"/>
      <c r="G385" s="410"/>
      <c r="H385" s="329">
        <f>SUM(H383:H384)</f>
        <v>5.44</v>
      </c>
    </row>
    <row r="386" spans="1:10">
      <c r="A386" s="398"/>
      <c r="B386" s="955" t="s">
        <v>538</v>
      </c>
      <c r="C386" s="955"/>
      <c r="D386" s="955"/>
      <c r="E386" s="389"/>
      <c r="F386" s="411" t="s">
        <v>539</v>
      </c>
      <c r="G386" s="410"/>
      <c r="H386" s="328">
        <f>ROUND(H385*F386,2)</f>
        <v>1.36</v>
      </c>
    </row>
    <row r="387" spans="1:10">
      <c r="A387" s="398"/>
      <c r="B387" s="956" t="s">
        <v>540</v>
      </c>
      <c r="C387" s="956"/>
      <c r="D387" s="956"/>
      <c r="E387" s="740"/>
      <c r="F387" s="768"/>
      <c r="G387" s="769"/>
      <c r="H387" s="771">
        <f>SUM(H385:H386)</f>
        <v>6.8000000000000007</v>
      </c>
    </row>
    <row r="388" spans="1:10" s="579" customFormat="1">
      <c r="A388" s="601"/>
      <c r="B388" s="780"/>
      <c r="C388" s="780"/>
      <c r="D388" s="780"/>
      <c r="E388" s="740"/>
      <c r="F388" s="768"/>
      <c r="G388" s="769"/>
      <c r="H388" s="771"/>
      <c r="I388" s="400"/>
      <c r="J388" s="404"/>
    </row>
    <row r="389" spans="1:10" s="406" customFormat="1" ht="23.25" customHeight="1">
      <c r="A389" s="403" t="s">
        <v>2320</v>
      </c>
      <c r="B389" s="961" t="s">
        <v>616</v>
      </c>
      <c r="C389" s="961"/>
      <c r="D389" s="961"/>
      <c r="E389" s="961"/>
      <c r="F389" s="961"/>
      <c r="H389" s="428" t="s">
        <v>16</v>
      </c>
      <c r="I389" s="407"/>
      <c r="J389" s="408"/>
    </row>
    <row r="390" spans="1:10">
      <c r="A390" s="398"/>
      <c r="B390" s="230" t="s">
        <v>617</v>
      </c>
      <c r="C390" s="231" t="s">
        <v>16</v>
      </c>
      <c r="D390" s="401">
        <v>1.0977999999999999</v>
      </c>
      <c r="E390" s="959">
        <f>Insumos!$C$107</f>
        <v>3.5489999999999999</v>
      </c>
      <c r="F390" s="959"/>
      <c r="G390" s="958">
        <f>ROUND(D390*E390,2)</f>
        <v>3.9</v>
      </c>
      <c r="H390" s="958"/>
    </row>
    <row r="391" spans="1:10">
      <c r="A391" s="398"/>
      <c r="B391" s="230" t="s">
        <v>597</v>
      </c>
      <c r="C391" s="231" t="s">
        <v>16</v>
      </c>
      <c r="D391" s="401">
        <v>3.5999999999999997E-2</v>
      </c>
      <c r="E391" s="959">
        <f>Insumos!$C$108</f>
        <v>6.8250000000000002</v>
      </c>
      <c r="F391" s="959"/>
      <c r="G391" s="958">
        <f>ROUND(D391*E391,2)</f>
        <v>0.25</v>
      </c>
      <c r="H391" s="958"/>
    </row>
    <row r="392" spans="1:10">
      <c r="A392" s="398"/>
      <c r="B392" s="230" t="s">
        <v>615</v>
      </c>
      <c r="C392" s="231" t="s">
        <v>112</v>
      </c>
      <c r="D392" s="401">
        <v>0.1</v>
      </c>
      <c r="E392" s="959">
        <f>Insumos!$C$109</f>
        <v>8.6722999999999999</v>
      </c>
      <c r="F392" s="959"/>
      <c r="G392" s="958">
        <f>ROUND(D392*E392,2)</f>
        <v>0.87</v>
      </c>
      <c r="H392" s="958"/>
    </row>
    <row r="393" spans="1:10">
      <c r="A393" s="398"/>
      <c r="B393" s="230" t="s">
        <v>535</v>
      </c>
      <c r="C393" s="231" t="s">
        <v>112</v>
      </c>
      <c r="D393" s="401">
        <v>0.1</v>
      </c>
      <c r="E393" s="959">
        <f>Insumos!$C$110</f>
        <v>6.4064000000000005</v>
      </c>
      <c r="F393" s="959"/>
      <c r="G393" s="958">
        <f>ROUND(D393*E393,2)</f>
        <v>0.64</v>
      </c>
      <c r="H393" s="958"/>
    </row>
    <row r="394" spans="1:10">
      <c r="A394" s="398"/>
      <c r="B394" s="955" t="s">
        <v>536</v>
      </c>
      <c r="C394" s="955"/>
      <c r="D394" s="955"/>
      <c r="E394" s="389"/>
      <c r="F394" s="409"/>
      <c r="G394" s="410"/>
      <c r="H394" s="249">
        <f>SUM(G390:H391)</f>
        <v>4.1500000000000004</v>
      </c>
    </row>
    <row r="395" spans="1:10">
      <c r="A395" s="398"/>
      <c r="B395" s="955" t="s">
        <v>537</v>
      </c>
      <c r="C395" s="955"/>
      <c r="D395" s="955"/>
      <c r="E395" s="389"/>
      <c r="F395" s="409"/>
      <c r="G395" s="410"/>
      <c r="H395" s="328">
        <f>SUM(G392:H393)</f>
        <v>1.51</v>
      </c>
    </row>
    <row r="396" spans="1:10">
      <c r="A396" s="398"/>
      <c r="B396" s="955" t="s">
        <v>1937</v>
      </c>
      <c r="C396" s="955"/>
      <c r="D396" s="955"/>
      <c r="E396" s="389"/>
      <c r="F396" s="409"/>
      <c r="G396" s="410"/>
      <c r="H396" s="329">
        <f>SUM(H394:H395)</f>
        <v>5.66</v>
      </c>
    </row>
    <row r="397" spans="1:10">
      <c r="A397" s="398"/>
      <c r="B397" s="955" t="s">
        <v>538</v>
      </c>
      <c r="C397" s="955"/>
      <c r="D397" s="955"/>
      <c r="E397" s="389"/>
      <c r="F397" s="411" t="s">
        <v>539</v>
      </c>
      <c r="G397" s="410"/>
      <c r="H397" s="328">
        <f>ROUND(H396*F397,2)</f>
        <v>1.41</v>
      </c>
    </row>
    <row r="398" spans="1:10">
      <c r="A398" s="398"/>
      <c r="B398" s="956" t="s">
        <v>540</v>
      </c>
      <c r="C398" s="956"/>
      <c r="D398" s="956"/>
      <c r="E398" s="740"/>
      <c r="F398" s="768"/>
      <c r="G398" s="769"/>
      <c r="H398" s="771">
        <f>SUM(H396:H397)</f>
        <v>7.07</v>
      </c>
    </row>
    <row r="399" spans="1:10" s="579" customFormat="1">
      <c r="A399" s="601"/>
      <c r="B399" s="780"/>
      <c r="C399" s="780"/>
      <c r="D399" s="780"/>
      <c r="E399" s="740"/>
      <c r="F399" s="768"/>
      <c r="G399" s="769"/>
      <c r="H399" s="771"/>
      <c r="I399" s="400"/>
      <c r="J399" s="404"/>
    </row>
    <row r="400" spans="1:10" s="581" customFormat="1" ht="23.25" customHeight="1">
      <c r="A400" s="602" t="s">
        <v>2321</v>
      </c>
      <c r="B400" s="961" t="s">
        <v>616</v>
      </c>
      <c r="C400" s="961"/>
      <c r="D400" s="961"/>
      <c r="E400" s="961"/>
      <c r="F400" s="961"/>
      <c r="H400" s="428" t="s">
        <v>16</v>
      </c>
      <c r="I400" s="603"/>
      <c r="J400" s="604"/>
    </row>
    <row r="401" spans="1:10" s="579" customFormat="1">
      <c r="A401" s="601"/>
      <c r="B401" s="595" t="s">
        <v>617</v>
      </c>
      <c r="C401" s="596" t="s">
        <v>16</v>
      </c>
      <c r="D401" s="401">
        <v>1.0977999999999999</v>
      </c>
      <c r="E401" s="959">
        <f>Insumos!$C$107</f>
        <v>3.5489999999999999</v>
      </c>
      <c r="F401" s="959"/>
      <c r="G401" s="958">
        <f>ROUND(D401*E401,2)</f>
        <v>3.9</v>
      </c>
      <c r="H401" s="958"/>
      <c r="I401" s="400"/>
      <c r="J401" s="404"/>
    </row>
    <row r="402" spans="1:10" s="579" customFormat="1">
      <c r="A402" s="601"/>
      <c r="B402" s="595" t="s">
        <v>597</v>
      </c>
      <c r="C402" s="596" t="s">
        <v>16</v>
      </c>
      <c r="D402" s="401">
        <v>3.5999999999999997E-2</v>
      </c>
      <c r="E402" s="959">
        <f>Insumos!$C$108</f>
        <v>6.8250000000000002</v>
      </c>
      <c r="F402" s="959"/>
      <c r="G402" s="958">
        <f>ROUND(D402*E402,2)</f>
        <v>0.25</v>
      </c>
      <c r="H402" s="958"/>
      <c r="I402" s="400"/>
      <c r="J402" s="404"/>
    </row>
    <row r="403" spans="1:10" s="579" customFormat="1">
      <c r="A403" s="601"/>
      <c r="B403" s="595" t="s">
        <v>615</v>
      </c>
      <c r="C403" s="596" t="s">
        <v>112</v>
      </c>
      <c r="D403" s="401">
        <v>0.1</v>
      </c>
      <c r="E403" s="959">
        <f>Insumos!$C$109</f>
        <v>8.6722999999999999</v>
      </c>
      <c r="F403" s="959"/>
      <c r="G403" s="958">
        <f>ROUND(D403*E403,2)</f>
        <v>0.87</v>
      </c>
      <c r="H403" s="958"/>
      <c r="I403" s="400"/>
      <c r="J403" s="404"/>
    </row>
    <row r="404" spans="1:10" s="579" customFormat="1">
      <c r="A404" s="601"/>
      <c r="B404" s="595" t="s">
        <v>535</v>
      </c>
      <c r="C404" s="596" t="s">
        <v>112</v>
      </c>
      <c r="D404" s="401">
        <v>0.1</v>
      </c>
      <c r="E404" s="959">
        <f>Insumos!$C$110</f>
        <v>6.4064000000000005</v>
      </c>
      <c r="F404" s="959"/>
      <c r="G404" s="958">
        <f>ROUND(D404*E404,2)</f>
        <v>0.64</v>
      </c>
      <c r="H404" s="958"/>
      <c r="I404" s="400"/>
      <c r="J404" s="404"/>
    </row>
    <row r="405" spans="1:10" s="579" customFormat="1">
      <c r="A405" s="601"/>
      <c r="B405" s="955" t="s">
        <v>536</v>
      </c>
      <c r="C405" s="955"/>
      <c r="D405" s="955"/>
      <c r="E405" s="737"/>
      <c r="F405" s="605"/>
      <c r="G405" s="606"/>
      <c r="H405" s="597">
        <f>SUM(G401:H402)</f>
        <v>4.1500000000000004</v>
      </c>
      <c r="I405" s="400"/>
      <c r="J405" s="404"/>
    </row>
    <row r="406" spans="1:10" s="579" customFormat="1">
      <c r="A406" s="601"/>
      <c r="B406" s="955" t="s">
        <v>537</v>
      </c>
      <c r="C406" s="955"/>
      <c r="D406" s="955"/>
      <c r="E406" s="737"/>
      <c r="F406" s="605"/>
      <c r="G406" s="606"/>
      <c r="H406" s="598">
        <f>SUM(G403:H404)</f>
        <v>1.51</v>
      </c>
      <c r="I406" s="400"/>
      <c r="J406" s="404"/>
    </row>
    <row r="407" spans="1:10" s="579" customFormat="1">
      <c r="A407" s="601"/>
      <c r="B407" s="955" t="s">
        <v>1937</v>
      </c>
      <c r="C407" s="955"/>
      <c r="D407" s="955"/>
      <c r="E407" s="737"/>
      <c r="F407" s="605"/>
      <c r="G407" s="606"/>
      <c r="H407" s="599">
        <f>SUM(H405:H406)</f>
        <v>5.66</v>
      </c>
      <c r="I407" s="400"/>
      <c r="J407" s="404"/>
    </row>
    <row r="408" spans="1:10" s="579" customFormat="1">
      <c r="A408" s="601"/>
      <c r="B408" s="955" t="s">
        <v>538</v>
      </c>
      <c r="C408" s="955"/>
      <c r="D408" s="955"/>
      <c r="E408" s="737"/>
      <c r="F408" s="607" t="s">
        <v>539</v>
      </c>
      <c r="G408" s="606"/>
      <c r="H408" s="598">
        <f>ROUND(H407*F408,2)</f>
        <v>1.41</v>
      </c>
      <c r="I408" s="400"/>
      <c r="J408" s="404"/>
    </row>
    <row r="409" spans="1:10" s="579" customFormat="1">
      <c r="A409" s="601"/>
      <c r="B409" s="956" t="s">
        <v>540</v>
      </c>
      <c r="C409" s="956"/>
      <c r="D409" s="956"/>
      <c r="E409" s="740"/>
      <c r="F409" s="768"/>
      <c r="G409" s="769"/>
      <c r="H409" s="771">
        <f>SUM(H407:H408)</f>
        <v>7.07</v>
      </c>
      <c r="I409" s="400"/>
      <c r="J409" s="404"/>
    </row>
    <row r="410" spans="1:10" s="579" customFormat="1">
      <c r="A410" s="601"/>
      <c r="B410" s="780"/>
      <c r="C410" s="780"/>
      <c r="D410" s="780"/>
      <c r="E410" s="740"/>
      <c r="F410" s="768"/>
      <c r="G410" s="769"/>
      <c r="H410" s="771"/>
      <c r="I410" s="400"/>
      <c r="J410" s="404"/>
    </row>
    <row r="411" spans="1:10" s="581" customFormat="1" ht="23.25" customHeight="1">
      <c r="A411" s="602" t="s">
        <v>2321</v>
      </c>
      <c r="B411" s="961" t="s">
        <v>616</v>
      </c>
      <c r="C411" s="961"/>
      <c r="D411" s="961"/>
      <c r="E411" s="961"/>
      <c r="F411" s="961"/>
      <c r="H411" s="428" t="s">
        <v>16</v>
      </c>
      <c r="I411" s="603"/>
      <c r="J411" s="604"/>
    </row>
    <row r="412" spans="1:10" s="579" customFormat="1">
      <c r="A412" s="601"/>
      <c r="B412" s="595" t="s">
        <v>617</v>
      </c>
      <c r="C412" s="596" t="s">
        <v>16</v>
      </c>
      <c r="D412" s="401">
        <v>1.0977999999999999</v>
      </c>
      <c r="E412" s="959">
        <f>Insumos!$C$107</f>
        <v>3.5489999999999999</v>
      </c>
      <c r="F412" s="959"/>
      <c r="G412" s="958">
        <f>ROUND(D412*E412,2)</f>
        <v>3.9</v>
      </c>
      <c r="H412" s="958"/>
      <c r="I412" s="400"/>
      <c r="J412" s="404"/>
    </row>
    <row r="413" spans="1:10" s="579" customFormat="1">
      <c r="A413" s="601"/>
      <c r="B413" s="595" t="s">
        <v>597</v>
      </c>
      <c r="C413" s="596" t="s">
        <v>16</v>
      </c>
      <c r="D413" s="401">
        <v>3.5999999999999997E-2</v>
      </c>
      <c r="E413" s="959">
        <f>Insumos!$C$108</f>
        <v>6.8250000000000002</v>
      </c>
      <c r="F413" s="959"/>
      <c r="G413" s="958">
        <f>ROUND(D413*E413,2)</f>
        <v>0.25</v>
      </c>
      <c r="H413" s="958"/>
      <c r="I413" s="400"/>
      <c r="J413" s="404"/>
    </row>
    <row r="414" spans="1:10" s="579" customFormat="1">
      <c r="A414" s="601"/>
      <c r="B414" s="595" t="s">
        <v>615</v>
      </c>
      <c r="C414" s="596" t="s">
        <v>112</v>
      </c>
      <c r="D414" s="401">
        <v>0.1</v>
      </c>
      <c r="E414" s="959">
        <f>Insumos!$C$109</f>
        <v>8.6722999999999999</v>
      </c>
      <c r="F414" s="959"/>
      <c r="G414" s="958">
        <f>ROUND(D414*E414,2)</f>
        <v>0.87</v>
      </c>
      <c r="H414" s="958"/>
      <c r="I414" s="400"/>
      <c r="J414" s="404"/>
    </row>
    <row r="415" spans="1:10" s="579" customFormat="1">
      <c r="A415" s="601"/>
      <c r="B415" s="595" t="s">
        <v>535</v>
      </c>
      <c r="C415" s="596" t="s">
        <v>112</v>
      </c>
      <c r="D415" s="401">
        <v>0.1</v>
      </c>
      <c r="E415" s="959">
        <f>Insumos!$C$110</f>
        <v>6.4064000000000005</v>
      </c>
      <c r="F415" s="959"/>
      <c r="G415" s="958">
        <f>ROUND(D415*E415,2)</f>
        <v>0.64</v>
      </c>
      <c r="H415" s="958"/>
      <c r="I415" s="400"/>
      <c r="J415" s="404"/>
    </row>
    <row r="416" spans="1:10" s="579" customFormat="1">
      <c r="A416" s="601"/>
      <c r="B416" s="955" t="s">
        <v>536</v>
      </c>
      <c r="C416" s="955"/>
      <c r="D416" s="955"/>
      <c r="E416" s="737"/>
      <c r="F416" s="605"/>
      <c r="G416" s="606"/>
      <c r="H416" s="597">
        <f>SUM(G412:H413)</f>
        <v>4.1500000000000004</v>
      </c>
      <c r="I416" s="400"/>
      <c r="J416" s="404"/>
    </row>
    <row r="417" spans="1:10" s="579" customFormat="1">
      <c r="A417" s="601"/>
      <c r="B417" s="955" t="s">
        <v>537</v>
      </c>
      <c r="C417" s="955"/>
      <c r="D417" s="955"/>
      <c r="E417" s="737"/>
      <c r="F417" s="605"/>
      <c r="G417" s="606"/>
      <c r="H417" s="598">
        <f>SUM(G414:H415)</f>
        <v>1.51</v>
      </c>
      <c r="I417" s="400"/>
      <c r="J417" s="404"/>
    </row>
    <row r="418" spans="1:10" s="579" customFormat="1">
      <c r="A418" s="601"/>
      <c r="B418" s="955" t="s">
        <v>1937</v>
      </c>
      <c r="C418" s="955"/>
      <c r="D418" s="955"/>
      <c r="E418" s="737"/>
      <c r="F418" s="605"/>
      <c r="G418" s="606"/>
      <c r="H418" s="599">
        <f>SUM(H416:H417)</f>
        <v>5.66</v>
      </c>
      <c r="I418" s="400"/>
      <c r="J418" s="404"/>
    </row>
    <row r="419" spans="1:10" s="579" customFormat="1">
      <c r="A419" s="601"/>
      <c r="B419" s="955" t="s">
        <v>538</v>
      </c>
      <c r="C419" s="955"/>
      <c r="D419" s="955"/>
      <c r="E419" s="737"/>
      <c r="F419" s="607" t="s">
        <v>539</v>
      </c>
      <c r="G419" s="606"/>
      <c r="H419" s="598">
        <f>ROUND(H418*F419,2)</f>
        <v>1.41</v>
      </c>
      <c r="I419" s="400"/>
      <c r="J419" s="404"/>
    </row>
    <row r="420" spans="1:10" s="579" customFormat="1">
      <c r="A420" s="601"/>
      <c r="B420" s="956" t="s">
        <v>540</v>
      </c>
      <c r="C420" s="956"/>
      <c r="D420" s="956"/>
      <c r="E420" s="740"/>
      <c r="F420" s="768"/>
      <c r="G420" s="769"/>
      <c r="H420" s="771">
        <f>SUM(H418:H419)</f>
        <v>7.07</v>
      </c>
      <c r="I420" s="400"/>
      <c r="J420" s="404"/>
    </row>
    <row r="421" spans="1:10" s="579" customFormat="1">
      <c r="A421" s="601"/>
      <c r="B421" s="780"/>
      <c r="C421" s="780"/>
      <c r="D421" s="780"/>
      <c r="E421" s="740"/>
      <c r="F421" s="768"/>
      <c r="G421" s="769"/>
      <c r="H421" s="771"/>
      <c r="I421" s="400"/>
      <c r="J421" s="404"/>
    </row>
    <row r="422" spans="1:10" s="581" customFormat="1" ht="23.25" customHeight="1">
      <c r="A422" s="602" t="s">
        <v>2322</v>
      </c>
      <c r="B422" s="961" t="s">
        <v>616</v>
      </c>
      <c r="C422" s="961"/>
      <c r="D422" s="961"/>
      <c r="E422" s="961"/>
      <c r="F422" s="961"/>
      <c r="H422" s="428" t="s">
        <v>16</v>
      </c>
      <c r="I422" s="603"/>
      <c r="J422" s="604"/>
    </row>
    <row r="423" spans="1:10" s="579" customFormat="1">
      <c r="A423" s="601"/>
      <c r="B423" s="595" t="s">
        <v>617</v>
      </c>
      <c r="C423" s="596" t="s">
        <v>16</v>
      </c>
      <c r="D423" s="401">
        <v>1.0977999999999999</v>
      </c>
      <c r="E423" s="959">
        <f>Insumos!$C$107</f>
        <v>3.5489999999999999</v>
      </c>
      <c r="F423" s="959"/>
      <c r="G423" s="958">
        <f>ROUND(D423*E423,2)</f>
        <v>3.9</v>
      </c>
      <c r="H423" s="958"/>
      <c r="I423" s="400"/>
      <c r="J423" s="404"/>
    </row>
    <row r="424" spans="1:10" s="579" customFormat="1">
      <c r="A424" s="601"/>
      <c r="B424" s="595" t="s">
        <v>597</v>
      </c>
      <c r="C424" s="596" t="s">
        <v>16</v>
      </c>
      <c r="D424" s="401">
        <v>3.5999999999999997E-2</v>
      </c>
      <c r="E424" s="959">
        <f>Insumos!$C$108</f>
        <v>6.8250000000000002</v>
      </c>
      <c r="F424" s="959"/>
      <c r="G424" s="958">
        <f>ROUND(D424*E424,2)</f>
        <v>0.25</v>
      </c>
      <c r="H424" s="958"/>
      <c r="I424" s="400"/>
      <c r="J424" s="404"/>
    </row>
    <row r="425" spans="1:10" s="579" customFormat="1">
      <c r="A425" s="601"/>
      <c r="B425" s="595" t="s">
        <v>615</v>
      </c>
      <c r="C425" s="596" t="s">
        <v>112</v>
      </c>
      <c r="D425" s="401">
        <v>0.1</v>
      </c>
      <c r="E425" s="959">
        <f>Insumos!$C$109</f>
        <v>8.6722999999999999</v>
      </c>
      <c r="F425" s="959"/>
      <c r="G425" s="958">
        <f>ROUND(D425*E425,2)</f>
        <v>0.87</v>
      </c>
      <c r="H425" s="958"/>
      <c r="I425" s="400"/>
      <c r="J425" s="404"/>
    </row>
    <row r="426" spans="1:10" s="579" customFormat="1">
      <c r="A426" s="601"/>
      <c r="B426" s="595" t="s">
        <v>535</v>
      </c>
      <c r="C426" s="596" t="s">
        <v>112</v>
      </c>
      <c r="D426" s="401">
        <v>0.1</v>
      </c>
      <c r="E426" s="959">
        <f>Insumos!$C$110</f>
        <v>6.4064000000000005</v>
      </c>
      <c r="F426" s="959"/>
      <c r="G426" s="958">
        <f>ROUND(D426*E426,2)</f>
        <v>0.64</v>
      </c>
      <c r="H426" s="958"/>
      <c r="I426" s="400"/>
      <c r="J426" s="404"/>
    </row>
    <row r="427" spans="1:10" s="579" customFormat="1">
      <c r="A427" s="601"/>
      <c r="B427" s="955" t="s">
        <v>536</v>
      </c>
      <c r="C427" s="955"/>
      <c r="D427" s="955"/>
      <c r="E427" s="737"/>
      <c r="F427" s="605"/>
      <c r="G427" s="606"/>
      <c r="H427" s="597">
        <f>SUM(G423:H424)</f>
        <v>4.1500000000000004</v>
      </c>
      <c r="I427" s="400"/>
      <c r="J427" s="404"/>
    </row>
    <row r="428" spans="1:10" s="579" customFormat="1">
      <c r="A428" s="601"/>
      <c r="B428" s="955" t="s">
        <v>537</v>
      </c>
      <c r="C428" s="955"/>
      <c r="D428" s="955"/>
      <c r="E428" s="737"/>
      <c r="F428" s="605"/>
      <c r="G428" s="606"/>
      <c r="H428" s="598">
        <f>SUM(G425:H426)</f>
        <v>1.51</v>
      </c>
      <c r="I428" s="400"/>
      <c r="J428" s="404"/>
    </row>
    <row r="429" spans="1:10" s="579" customFormat="1">
      <c r="A429" s="601"/>
      <c r="B429" s="955" t="s">
        <v>1937</v>
      </c>
      <c r="C429" s="955"/>
      <c r="D429" s="955"/>
      <c r="E429" s="737"/>
      <c r="F429" s="605"/>
      <c r="G429" s="606"/>
      <c r="H429" s="599">
        <f>SUM(H427:H428)</f>
        <v>5.66</v>
      </c>
      <c r="I429" s="400"/>
      <c r="J429" s="404"/>
    </row>
    <row r="430" spans="1:10" s="579" customFormat="1">
      <c r="A430" s="601"/>
      <c r="B430" s="955" t="s">
        <v>538</v>
      </c>
      <c r="C430" s="955"/>
      <c r="D430" s="955"/>
      <c r="E430" s="737"/>
      <c r="F430" s="607" t="s">
        <v>539</v>
      </c>
      <c r="G430" s="606"/>
      <c r="H430" s="598">
        <f>ROUND(H429*F430,2)</f>
        <v>1.41</v>
      </c>
      <c r="I430" s="400"/>
      <c r="J430" s="404"/>
    </row>
    <row r="431" spans="1:10" s="579" customFormat="1">
      <c r="A431" s="601"/>
      <c r="B431" s="956" t="s">
        <v>540</v>
      </c>
      <c r="C431" s="956"/>
      <c r="D431" s="956"/>
      <c r="E431" s="740"/>
      <c r="F431" s="768"/>
      <c r="G431" s="769"/>
      <c r="H431" s="771">
        <f>SUM(H429:H430)</f>
        <v>7.07</v>
      </c>
      <c r="I431" s="400"/>
      <c r="J431" s="404"/>
    </row>
    <row r="432" spans="1:10" s="579" customFormat="1">
      <c r="A432" s="601"/>
      <c r="B432" s="780"/>
      <c r="C432" s="780"/>
      <c r="D432" s="780"/>
      <c r="E432" s="740"/>
      <c r="F432" s="768"/>
      <c r="G432" s="769"/>
      <c r="H432" s="771"/>
      <c r="I432" s="400"/>
      <c r="J432" s="404"/>
    </row>
    <row r="433" spans="1:10" ht="15">
      <c r="A433" s="403" t="s">
        <v>2323</v>
      </c>
      <c r="B433" s="960" t="s">
        <v>1465</v>
      </c>
      <c r="C433" s="960"/>
      <c r="D433" s="960"/>
      <c r="E433" s="960"/>
      <c r="F433" s="960"/>
      <c r="G433" s="445"/>
      <c r="H433" s="444" t="s">
        <v>16</v>
      </c>
    </row>
    <row r="434" spans="1:10">
      <c r="A434" s="447"/>
      <c r="B434" s="449" t="s">
        <v>1466</v>
      </c>
      <c r="C434" s="448" t="s">
        <v>97</v>
      </c>
      <c r="D434" s="437">
        <v>0.41691605301914642</v>
      </c>
      <c r="E434" s="974">
        <f>Insumos!C111</f>
        <v>93.629900000000006</v>
      </c>
      <c r="F434" s="974"/>
      <c r="G434" s="976">
        <f>ROUND(D434*E434,2)</f>
        <v>39.04</v>
      </c>
      <c r="H434" s="976"/>
    </row>
    <row r="435" spans="1:10">
      <c r="A435" s="447"/>
      <c r="B435" s="449" t="s">
        <v>558</v>
      </c>
      <c r="C435" s="448" t="s">
        <v>97</v>
      </c>
      <c r="D435" s="437">
        <v>0.59991176470588237</v>
      </c>
      <c r="E435" s="974">
        <f>Insumos!C112</f>
        <v>81.900000000000006</v>
      </c>
      <c r="F435" s="974"/>
      <c r="G435" s="976">
        <f>ROUND(D435*E435,2)</f>
        <v>49.13</v>
      </c>
      <c r="H435" s="976"/>
    </row>
    <row r="436" spans="1:10">
      <c r="A436" s="447"/>
      <c r="B436" s="449" t="s">
        <v>535</v>
      </c>
      <c r="C436" s="448" t="s">
        <v>112</v>
      </c>
      <c r="D436" s="437">
        <v>2</v>
      </c>
      <c r="E436" s="974">
        <f>Insumos!C113</f>
        <v>6.4064000000000005</v>
      </c>
      <c r="F436" s="974"/>
      <c r="G436" s="976">
        <f>ROUND(D436*E436,2)</f>
        <v>12.81</v>
      </c>
      <c r="H436" s="976"/>
    </row>
    <row r="437" spans="1:10">
      <c r="A437" s="447"/>
      <c r="B437" s="970" t="s">
        <v>536</v>
      </c>
      <c r="C437" s="970"/>
      <c r="D437" s="970"/>
      <c r="E437" s="450"/>
      <c r="F437" s="451"/>
      <c r="G437" s="452"/>
      <c r="H437" s="453">
        <f>SUM(G434:H435)</f>
        <v>88.17</v>
      </c>
    </row>
    <row r="438" spans="1:10">
      <c r="A438" s="447"/>
      <c r="B438" s="970" t="s">
        <v>537</v>
      </c>
      <c r="C438" s="970"/>
      <c r="D438" s="970"/>
      <c r="E438" s="450"/>
      <c r="F438" s="451"/>
      <c r="G438" s="452"/>
      <c r="H438" s="453">
        <f>SUM(G436:H436)</f>
        <v>12.81</v>
      </c>
    </row>
    <row r="439" spans="1:10">
      <c r="A439" s="447"/>
      <c r="B439" s="970" t="s">
        <v>1937</v>
      </c>
      <c r="C439" s="970"/>
      <c r="D439" s="970"/>
      <c r="E439" s="450"/>
      <c r="F439" s="451"/>
      <c r="G439" s="452"/>
      <c r="H439" s="250">
        <f>SUM(H437:H438)</f>
        <v>100.98</v>
      </c>
    </row>
    <row r="440" spans="1:10">
      <c r="A440" s="447"/>
      <c r="B440" s="970" t="s">
        <v>538</v>
      </c>
      <c r="C440" s="970"/>
      <c r="D440" s="970"/>
      <c r="E440" s="450"/>
      <c r="F440" s="454" t="s">
        <v>539</v>
      </c>
      <c r="G440" s="452"/>
      <c r="H440" s="249">
        <f>ROUND(H439*F440,2)</f>
        <v>25.2</v>
      </c>
    </row>
    <row r="441" spans="1:10">
      <c r="A441" s="447"/>
      <c r="B441" s="972" t="s">
        <v>540</v>
      </c>
      <c r="C441" s="972"/>
      <c r="D441" s="972"/>
      <c r="E441" s="781"/>
      <c r="F441" s="782"/>
      <c r="G441" s="783"/>
      <c r="H441" s="771">
        <f>SUM(H439:H440)</f>
        <v>126.18</v>
      </c>
    </row>
    <row r="442" spans="1:10" s="579" customFormat="1">
      <c r="A442" s="447"/>
      <c r="B442" s="797"/>
      <c r="C442" s="797"/>
      <c r="D442" s="797"/>
      <c r="E442" s="781"/>
      <c r="F442" s="782"/>
      <c r="G442" s="783"/>
      <c r="H442" s="771"/>
      <c r="I442" s="400"/>
      <c r="J442" s="404"/>
    </row>
    <row r="443" spans="1:10" s="406" customFormat="1" ht="26.45" customHeight="1">
      <c r="A443" s="403" t="s">
        <v>2324</v>
      </c>
      <c r="B443" s="961" t="s">
        <v>498</v>
      </c>
      <c r="C443" s="961"/>
      <c r="D443" s="961"/>
      <c r="E443" s="961"/>
      <c r="F443" s="961"/>
      <c r="H443" s="403" t="s">
        <v>97</v>
      </c>
      <c r="I443" s="407"/>
      <c r="J443" s="408"/>
    </row>
    <row r="444" spans="1:10">
      <c r="A444" s="398"/>
      <c r="B444" s="230" t="s">
        <v>618</v>
      </c>
      <c r="C444" s="231" t="s">
        <v>97</v>
      </c>
      <c r="D444" s="436">
        <v>0.89</v>
      </c>
      <c r="E444" s="964">
        <f>Insumos!$C$114</f>
        <v>31.85</v>
      </c>
      <c r="F444" s="964"/>
      <c r="G444" s="958">
        <f t="shared" ref="G444:G449" si="22">ROUND(D444*E444,2)</f>
        <v>28.35</v>
      </c>
      <c r="H444" s="958"/>
    </row>
    <row r="445" spans="1:10">
      <c r="A445" s="398"/>
      <c r="B445" s="230" t="s">
        <v>549</v>
      </c>
      <c r="C445" s="231" t="s">
        <v>16</v>
      </c>
      <c r="D445" s="436">
        <v>319.49458757932587</v>
      </c>
      <c r="E445" s="964">
        <f>Insumos!$C$115</f>
        <v>0.50050000000000006</v>
      </c>
      <c r="F445" s="964"/>
      <c r="G445" s="958">
        <f t="shared" si="22"/>
        <v>159.91</v>
      </c>
      <c r="H445" s="958"/>
    </row>
    <row r="446" spans="1:10">
      <c r="A446" s="398"/>
      <c r="B446" s="230" t="s">
        <v>606</v>
      </c>
      <c r="C446" s="231" t="s">
        <v>112</v>
      </c>
      <c r="D446" s="436">
        <v>1.83</v>
      </c>
      <c r="E446" s="964">
        <f>Insumos!$C$116</f>
        <v>6.8250000000000002</v>
      </c>
      <c r="F446" s="964"/>
      <c r="G446" s="958">
        <f t="shared" si="22"/>
        <v>12.49</v>
      </c>
      <c r="H446" s="958"/>
    </row>
    <row r="447" spans="1:10">
      <c r="A447" s="398"/>
      <c r="B447" s="230" t="s">
        <v>558</v>
      </c>
      <c r="C447" s="231" t="s">
        <v>97</v>
      </c>
      <c r="D447" s="436">
        <v>0.83</v>
      </c>
      <c r="E447" s="964">
        <f>Insumos!$C$117</f>
        <v>81.900000000000006</v>
      </c>
      <c r="F447" s="964"/>
      <c r="G447" s="958">
        <f t="shared" si="22"/>
        <v>67.98</v>
      </c>
      <c r="H447" s="958"/>
    </row>
    <row r="448" spans="1:10">
      <c r="A448" s="398"/>
      <c r="B448" s="230" t="s">
        <v>535</v>
      </c>
      <c r="C448" s="231" t="s">
        <v>112</v>
      </c>
      <c r="D448" s="436">
        <v>3.2378</v>
      </c>
      <c r="E448" s="959">
        <f>Insumos!$C$118</f>
        <v>6.4064000000000005</v>
      </c>
      <c r="F448" s="959"/>
      <c r="G448" s="958">
        <f t="shared" si="22"/>
        <v>20.74</v>
      </c>
      <c r="H448" s="958"/>
    </row>
    <row r="449" spans="1:10">
      <c r="A449" s="398"/>
      <c r="B449" s="230" t="s">
        <v>519</v>
      </c>
      <c r="C449" s="231" t="s">
        <v>112</v>
      </c>
      <c r="D449" s="436">
        <v>1.83</v>
      </c>
      <c r="E449" s="959">
        <f>Insumos!$C$119</f>
        <v>14.0868</v>
      </c>
      <c r="F449" s="959"/>
      <c r="G449" s="958">
        <f t="shared" si="22"/>
        <v>25.78</v>
      </c>
      <c r="H449" s="958"/>
    </row>
    <row r="450" spans="1:10">
      <c r="A450" s="398"/>
      <c r="B450" s="955" t="s">
        <v>536</v>
      </c>
      <c r="C450" s="955"/>
      <c r="D450" s="955"/>
      <c r="E450" s="389"/>
      <c r="F450" s="409"/>
      <c r="G450" s="410"/>
      <c r="H450" s="249">
        <f>SUM(G444:H447)</f>
        <v>268.73</v>
      </c>
    </row>
    <row r="451" spans="1:10">
      <c r="A451" s="398"/>
      <c r="B451" s="955" t="s">
        <v>537</v>
      </c>
      <c r="C451" s="955"/>
      <c r="D451" s="955"/>
      <c r="E451" s="389"/>
      <c r="F451" s="409"/>
      <c r="G451" s="410"/>
      <c r="H451" s="249">
        <f>SUM(G448:H449)</f>
        <v>46.519999999999996</v>
      </c>
    </row>
    <row r="452" spans="1:10">
      <c r="A452" s="398"/>
      <c r="B452" s="955" t="s">
        <v>1937</v>
      </c>
      <c r="C452" s="955"/>
      <c r="D452" s="955"/>
      <c r="E452" s="389"/>
      <c r="F452" s="409"/>
      <c r="G452" s="410"/>
      <c r="H452" s="250">
        <f>SUM(H450:H451)</f>
        <v>315.25</v>
      </c>
    </row>
    <row r="453" spans="1:10">
      <c r="A453" s="398"/>
      <c r="B453" s="955" t="s">
        <v>538</v>
      </c>
      <c r="C453" s="955"/>
      <c r="D453" s="955"/>
      <c r="E453" s="389"/>
      <c r="F453" s="475">
        <v>0.24959999999999999</v>
      </c>
      <c r="G453" s="410"/>
      <c r="H453" s="249">
        <f>ROUND(H452*F453,2)</f>
        <v>78.69</v>
      </c>
    </row>
    <row r="454" spans="1:10">
      <c r="A454" s="398"/>
      <c r="B454" s="956" t="s">
        <v>540</v>
      </c>
      <c r="C454" s="956"/>
      <c r="D454" s="956"/>
      <c r="E454" s="740"/>
      <c r="F454" s="768"/>
      <c r="G454" s="769"/>
      <c r="H454" s="771">
        <f>SUM(H452:H453)</f>
        <v>393.94</v>
      </c>
    </row>
    <row r="455" spans="1:10" s="579" customFormat="1">
      <c r="A455" s="601"/>
      <c r="B455" s="780"/>
      <c r="C455" s="780"/>
      <c r="D455" s="780"/>
      <c r="E455" s="740"/>
      <c r="F455" s="768"/>
      <c r="G455" s="769"/>
      <c r="H455" s="771"/>
      <c r="I455" s="400"/>
      <c r="J455" s="404"/>
    </row>
    <row r="456" spans="1:10" s="406" customFormat="1" ht="15">
      <c r="A456" s="403" t="s">
        <v>2325</v>
      </c>
      <c r="B456" s="961" t="s">
        <v>1568</v>
      </c>
      <c r="C456" s="961"/>
      <c r="D456" s="961"/>
      <c r="E456" s="961"/>
      <c r="F456" s="961"/>
      <c r="H456" s="403" t="s">
        <v>97</v>
      </c>
      <c r="I456" s="407"/>
      <c r="J456" s="408"/>
    </row>
    <row r="457" spans="1:10" ht="22.5">
      <c r="A457" s="398"/>
      <c r="B457" s="230" t="s">
        <v>619</v>
      </c>
      <c r="C457" s="231" t="s">
        <v>112</v>
      </c>
      <c r="D457" s="437">
        <v>0.31414999999999565</v>
      </c>
      <c r="E457" s="959">
        <f>Insumos!$C$120</f>
        <v>1.7381</v>
      </c>
      <c r="F457" s="959"/>
      <c r="G457" s="958">
        <f>ROUND(D457*E457,2)</f>
        <v>0.55000000000000004</v>
      </c>
      <c r="H457" s="958"/>
    </row>
    <row r="458" spans="1:10">
      <c r="A458" s="398"/>
      <c r="B458" s="230" t="s">
        <v>576</v>
      </c>
      <c r="C458" s="231" t="s">
        <v>112</v>
      </c>
      <c r="D458" s="437">
        <v>1.998627272727274</v>
      </c>
      <c r="E458" s="959">
        <f>Insumos!$C$121</f>
        <v>8.6722999999999999</v>
      </c>
      <c r="F458" s="959"/>
      <c r="G458" s="958">
        <f>ROUND(D458*E458,2)</f>
        <v>17.329999999999998</v>
      </c>
      <c r="H458" s="958"/>
    </row>
    <row r="459" spans="1:10">
      <c r="A459" s="398"/>
      <c r="B459" s="230" t="s">
        <v>535</v>
      </c>
      <c r="C459" s="231" t="s">
        <v>112</v>
      </c>
      <c r="D459" s="437">
        <v>5</v>
      </c>
      <c r="E459" s="959">
        <f>Insumos!$C$122</f>
        <v>6.4064000000000005</v>
      </c>
      <c r="F459" s="959"/>
      <c r="G459" s="958">
        <f>ROUND(D459*E459,2)</f>
        <v>32.03</v>
      </c>
      <c r="H459" s="958"/>
    </row>
    <row r="460" spans="1:10">
      <c r="A460" s="398"/>
      <c r="B460" s="955" t="s">
        <v>536</v>
      </c>
      <c r="C460" s="955"/>
      <c r="D460" s="955"/>
      <c r="E460" s="389"/>
      <c r="F460" s="409"/>
      <c r="G460" s="410"/>
      <c r="H460" s="249">
        <f>SUM(G457)</f>
        <v>0.55000000000000004</v>
      </c>
    </row>
    <row r="461" spans="1:10">
      <c r="A461" s="398"/>
      <c r="B461" s="955" t="s">
        <v>537</v>
      </c>
      <c r="C461" s="955"/>
      <c r="D461" s="955"/>
      <c r="E461" s="389"/>
      <c r="F461" s="409"/>
      <c r="G461" s="410"/>
      <c r="H461" s="249">
        <f>SUM(G458:H459)</f>
        <v>49.36</v>
      </c>
    </row>
    <row r="462" spans="1:10">
      <c r="A462" s="398"/>
      <c r="B462" s="955" t="s">
        <v>1937</v>
      </c>
      <c r="C462" s="955"/>
      <c r="D462" s="955"/>
      <c r="E462" s="389"/>
      <c r="F462" s="409"/>
      <c r="G462" s="410"/>
      <c r="H462" s="250">
        <f>SUM(H460:H461)</f>
        <v>49.91</v>
      </c>
    </row>
    <row r="463" spans="1:10">
      <c r="A463" s="398"/>
      <c r="B463" s="955" t="s">
        <v>538</v>
      </c>
      <c r="C463" s="955"/>
      <c r="D463" s="955"/>
      <c r="E463" s="389"/>
      <c r="F463" s="411" t="s">
        <v>539</v>
      </c>
      <c r="G463" s="410"/>
      <c r="H463" s="249">
        <f>ROUND(H462*F463,2)</f>
        <v>12.46</v>
      </c>
    </row>
    <row r="464" spans="1:10">
      <c r="A464" s="398"/>
      <c r="B464" s="956" t="s">
        <v>540</v>
      </c>
      <c r="C464" s="956"/>
      <c r="D464" s="956"/>
      <c r="E464" s="740"/>
      <c r="F464" s="768"/>
      <c r="G464" s="769"/>
      <c r="H464" s="771">
        <f>SUM(H462:H463)</f>
        <v>62.37</v>
      </c>
    </row>
    <row r="465" spans="1:10" s="579" customFormat="1">
      <c r="A465" s="601"/>
      <c r="B465" s="780"/>
      <c r="C465" s="780"/>
      <c r="D465" s="780"/>
      <c r="E465" s="740"/>
      <c r="F465" s="768"/>
      <c r="G465" s="769"/>
      <c r="H465" s="771"/>
      <c r="I465" s="400"/>
      <c r="J465" s="404"/>
    </row>
    <row r="466" spans="1:10" s="167" customFormat="1" ht="32.1" customHeight="1">
      <c r="A466" s="756">
        <v>8</v>
      </c>
      <c r="B466" s="975" t="s">
        <v>620</v>
      </c>
      <c r="C466" s="975"/>
      <c r="D466" s="975"/>
      <c r="E466" s="975"/>
      <c r="F466" s="975"/>
      <c r="G466" s="766"/>
      <c r="H466" s="767"/>
      <c r="I466" s="326"/>
      <c r="J466" s="344"/>
    </row>
    <row r="467" spans="1:10" s="406" customFormat="1" ht="25.9" customHeight="1">
      <c r="A467" s="403" t="s">
        <v>2326</v>
      </c>
      <c r="B467" s="961" t="s">
        <v>1560</v>
      </c>
      <c r="C467" s="961"/>
      <c r="D467" s="961"/>
      <c r="E467" s="961"/>
      <c r="F467" s="961"/>
      <c r="H467" s="403" t="s">
        <v>97</v>
      </c>
      <c r="I467" s="407"/>
      <c r="J467" s="408"/>
    </row>
    <row r="468" spans="1:10">
      <c r="A468" s="398"/>
      <c r="B468" s="230" t="s">
        <v>535</v>
      </c>
      <c r="C468" s="231" t="s">
        <v>112</v>
      </c>
      <c r="D468" s="436">
        <v>2.9309477647058824</v>
      </c>
      <c r="E468" s="959">
        <f>Insumos!C123</f>
        <v>6.4064000000000005</v>
      </c>
      <c r="F468" s="959"/>
      <c r="G468" s="958">
        <f>ROUND(D468*E468,2)</f>
        <v>18.78</v>
      </c>
      <c r="H468" s="958"/>
    </row>
    <row r="469" spans="1:10">
      <c r="A469" s="398"/>
      <c r="B469" s="955" t="s">
        <v>536</v>
      </c>
      <c r="C469" s="955"/>
      <c r="D469" s="955"/>
      <c r="E469" s="389"/>
      <c r="F469" s="409"/>
      <c r="G469" s="410"/>
      <c r="H469" s="249">
        <v>0</v>
      </c>
    </row>
    <row r="470" spans="1:10">
      <c r="A470" s="398"/>
      <c r="B470" s="955" t="s">
        <v>537</v>
      </c>
      <c r="C470" s="955"/>
      <c r="D470" s="955"/>
      <c r="E470" s="389"/>
      <c r="F470" s="409"/>
      <c r="G470" s="410"/>
      <c r="H470" s="249">
        <f>SUM(G468)</f>
        <v>18.78</v>
      </c>
    </row>
    <row r="471" spans="1:10">
      <c r="A471" s="398"/>
      <c r="B471" s="955" t="s">
        <v>1937</v>
      </c>
      <c r="C471" s="955"/>
      <c r="D471" s="955"/>
      <c r="E471" s="389"/>
      <c r="F471" s="409"/>
      <c r="G471" s="410"/>
      <c r="H471" s="250">
        <f>SUM(H469:H470)</f>
        <v>18.78</v>
      </c>
    </row>
    <row r="472" spans="1:10">
      <c r="A472" s="398"/>
      <c r="B472" s="955" t="s">
        <v>538</v>
      </c>
      <c r="C472" s="955"/>
      <c r="D472" s="955"/>
      <c r="E472" s="389"/>
      <c r="F472" s="411" t="s">
        <v>539</v>
      </c>
      <c r="G472" s="410"/>
      <c r="H472" s="249">
        <f>ROUND(H471*F472,2)</f>
        <v>4.6900000000000004</v>
      </c>
    </row>
    <row r="473" spans="1:10">
      <c r="A473" s="398"/>
      <c r="B473" s="956" t="s">
        <v>540</v>
      </c>
      <c r="C473" s="956"/>
      <c r="D473" s="956"/>
      <c r="E473" s="740"/>
      <c r="F473" s="768"/>
      <c r="G473" s="769"/>
      <c r="H473" s="771">
        <f>SUM(H471:H472)</f>
        <v>23.470000000000002</v>
      </c>
    </row>
    <row r="474" spans="1:10" s="579" customFormat="1">
      <c r="A474" s="601"/>
      <c r="B474" s="780"/>
      <c r="C474" s="780"/>
      <c r="D474" s="780"/>
      <c r="E474" s="740"/>
      <c r="F474" s="768"/>
      <c r="G474" s="769"/>
      <c r="H474" s="771"/>
      <c r="I474" s="400"/>
      <c r="J474" s="404"/>
    </row>
    <row r="475" spans="1:10" s="406" customFormat="1" ht="15">
      <c r="A475" s="403" t="s">
        <v>2327</v>
      </c>
      <c r="B475" s="961" t="s">
        <v>607</v>
      </c>
      <c r="C475" s="961"/>
      <c r="D475" s="961"/>
      <c r="E475" s="961"/>
      <c r="F475" s="961"/>
      <c r="H475" s="403" t="s">
        <v>97</v>
      </c>
      <c r="I475" s="407"/>
      <c r="J475" s="408"/>
    </row>
    <row r="476" spans="1:10">
      <c r="A476" s="398"/>
      <c r="B476" s="230" t="s">
        <v>608</v>
      </c>
      <c r="C476" s="231" t="s">
        <v>97</v>
      </c>
      <c r="D476" s="436">
        <v>1.2506495535714282</v>
      </c>
      <c r="E476" s="959">
        <f>Insumos!C124</f>
        <v>4.2151199999999998</v>
      </c>
      <c r="F476" s="959"/>
      <c r="G476" s="958">
        <f>ROUND(D476*E476,2)</f>
        <v>5.27</v>
      </c>
      <c r="H476" s="958"/>
    </row>
    <row r="477" spans="1:10">
      <c r="A477" s="398"/>
      <c r="B477" s="230" t="s">
        <v>535</v>
      </c>
      <c r="C477" s="231" t="s">
        <v>112</v>
      </c>
      <c r="D477" s="436">
        <v>3</v>
      </c>
      <c r="E477" s="959">
        <f>Insumos!C125</f>
        <v>6.4064000000000005</v>
      </c>
      <c r="F477" s="959"/>
      <c r="G477" s="958">
        <f>ROUND(D477*E477,2)</f>
        <v>19.22</v>
      </c>
      <c r="H477" s="958"/>
    </row>
    <row r="478" spans="1:10">
      <c r="A478" s="398"/>
      <c r="B478" s="955" t="s">
        <v>536</v>
      </c>
      <c r="C478" s="955"/>
      <c r="D478" s="955"/>
      <c r="E478" s="389"/>
      <c r="F478" s="409"/>
      <c r="G478" s="410"/>
      <c r="H478" s="249">
        <f>SUM(G476)</f>
        <v>5.27</v>
      </c>
    </row>
    <row r="479" spans="1:10">
      <c r="A479" s="398"/>
      <c r="B479" s="955" t="s">
        <v>537</v>
      </c>
      <c r="C479" s="955"/>
      <c r="D479" s="955"/>
      <c r="E479" s="389"/>
      <c r="F479" s="409"/>
      <c r="G479" s="410"/>
      <c r="H479" s="249">
        <f>SUM(G477)</f>
        <v>19.22</v>
      </c>
    </row>
    <row r="480" spans="1:10">
      <c r="A480" s="398"/>
      <c r="B480" s="955" t="s">
        <v>1937</v>
      </c>
      <c r="C480" s="955"/>
      <c r="D480" s="955"/>
      <c r="E480" s="389"/>
      <c r="F480" s="409"/>
      <c r="G480" s="410"/>
      <c r="H480" s="250">
        <f>SUM(H478:H479)</f>
        <v>24.49</v>
      </c>
    </row>
    <row r="481" spans="1:10">
      <c r="A481" s="398"/>
      <c r="B481" s="955" t="s">
        <v>538</v>
      </c>
      <c r="C481" s="955"/>
      <c r="D481" s="955"/>
      <c r="E481" s="389"/>
      <c r="F481" s="411" t="s">
        <v>539</v>
      </c>
      <c r="G481" s="410"/>
      <c r="H481" s="249">
        <f>ROUND(H480*F481,2)</f>
        <v>6.11</v>
      </c>
    </row>
    <row r="482" spans="1:10">
      <c r="A482" s="398"/>
      <c r="B482" s="956" t="s">
        <v>540</v>
      </c>
      <c r="C482" s="956"/>
      <c r="D482" s="956"/>
      <c r="E482" s="740"/>
      <c r="F482" s="768"/>
      <c r="G482" s="769"/>
      <c r="H482" s="771">
        <f>SUM(H480:H481)</f>
        <v>30.599999999999998</v>
      </c>
    </row>
    <row r="483" spans="1:10" s="579" customFormat="1">
      <c r="A483" s="601"/>
      <c r="B483" s="780"/>
      <c r="C483" s="780"/>
      <c r="D483" s="780"/>
      <c r="E483" s="740"/>
      <c r="F483" s="768"/>
      <c r="G483" s="769"/>
      <c r="H483" s="771"/>
      <c r="I483" s="400"/>
      <c r="J483" s="404"/>
    </row>
    <row r="484" spans="1:10" s="406" customFormat="1" ht="15">
      <c r="A484" s="403" t="s">
        <v>2328</v>
      </c>
      <c r="B484" s="961" t="s">
        <v>396</v>
      </c>
      <c r="C484" s="961"/>
      <c r="D484" s="961"/>
      <c r="E484" s="961"/>
      <c r="F484" s="961"/>
      <c r="H484" s="403" t="s">
        <v>13</v>
      </c>
      <c r="I484" s="407"/>
      <c r="J484" s="408"/>
    </row>
    <row r="485" spans="1:10">
      <c r="A485" s="398"/>
      <c r="B485" s="230" t="s">
        <v>621</v>
      </c>
      <c r="C485" s="231" t="s">
        <v>612</v>
      </c>
      <c r="D485" s="401">
        <v>0.1</v>
      </c>
      <c r="E485" s="964">
        <f>Insumos!C126</f>
        <v>7.2526999999999999</v>
      </c>
      <c r="F485" s="964"/>
      <c r="G485" s="963">
        <f t="shared" ref="G485:G492" si="23">ROUND(D485*E485,2)</f>
        <v>0.73</v>
      </c>
      <c r="H485" s="963"/>
    </row>
    <row r="486" spans="1:10">
      <c r="A486" s="398"/>
      <c r="B486" s="230" t="s">
        <v>593</v>
      </c>
      <c r="C486" s="231" t="s">
        <v>15</v>
      </c>
      <c r="D486" s="401">
        <v>1.6</v>
      </c>
      <c r="E486" s="964">
        <f>Insumos!C127</f>
        <v>5.3417000000000003</v>
      </c>
      <c r="F486" s="964"/>
      <c r="G486" s="963">
        <f t="shared" si="23"/>
        <v>8.5500000000000007</v>
      </c>
      <c r="H486" s="963"/>
    </row>
    <row r="487" spans="1:10">
      <c r="A487" s="398"/>
      <c r="B487" s="230" t="s">
        <v>598</v>
      </c>
      <c r="C487" s="231" t="s">
        <v>16</v>
      </c>
      <c r="D487" s="401">
        <v>0.24</v>
      </c>
      <c r="E487" s="964">
        <f>Insumos!C128</f>
        <v>6.5156000000000001</v>
      </c>
      <c r="F487" s="964"/>
      <c r="G487" s="963">
        <f t="shared" si="23"/>
        <v>1.56</v>
      </c>
      <c r="H487" s="963"/>
    </row>
    <row r="488" spans="1:10" ht="24" customHeight="1">
      <c r="A488" s="398"/>
      <c r="B488" s="230" t="s">
        <v>557</v>
      </c>
      <c r="C488" s="231" t="s">
        <v>15</v>
      </c>
      <c r="D488" s="401">
        <v>1.74</v>
      </c>
      <c r="E488" s="964">
        <f>Insumos!C129</f>
        <v>2.3386999999999998</v>
      </c>
      <c r="F488" s="964"/>
      <c r="G488" s="963">
        <f t="shared" si="23"/>
        <v>4.07</v>
      </c>
      <c r="H488" s="963"/>
    </row>
    <row r="489" spans="1:10">
      <c r="A489" s="398"/>
      <c r="B489" s="230" t="s">
        <v>531</v>
      </c>
      <c r="C489" s="231" t="s">
        <v>15</v>
      </c>
      <c r="D489" s="401">
        <v>2</v>
      </c>
      <c r="E489" s="964">
        <f>Insumos!C130</f>
        <v>4.5409000000000006</v>
      </c>
      <c r="F489" s="964"/>
      <c r="G489" s="963">
        <f t="shared" si="23"/>
        <v>9.08</v>
      </c>
      <c r="H489" s="963"/>
    </row>
    <row r="490" spans="1:10">
      <c r="A490" s="398"/>
      <c r="B490" s="230" t="s">
        <v>548</v>
      </c>
      <c r="C490" s="231" t="s">
        <v>14</v>
      </c>
      <c r="D490" s="401">
        <v>0.185</v>
      </c>
      <c r="E490" s="964">
        <f>Insumos!C131</f>
        <v>46.1188</v>
      </c>
      <c r="F490" s="964"/>
      <c r="G490" s="963">
        <f t="shared" si="23"/>
        <v>8.5299999999999994</v>
      </c>
      <c r="H490" s="963"/>
    </row>
    <row r="491" spans="1:10">
      <c r="A491" s="398"/>
      <c r="B491" s="230" t="s">
        <v>508</v>
      </c>
      <c r="C491" s="231" t="s">
        <v>112</v>
      </c>
      <c r="D491" s="401">
        <v>1.35</v>
      </c>
      <c r="E491" s="964">
        <f>Insumos!C132</f>
        <v>8.6722999999999999</v>
      </c>
      <c r="F491" s="964"/>
      <c r="G491" s="963">
        <f t="shared" si="23"/>
        <v>11.71</v>
      </c>
      <c r="H491" s="963"/>
    </row>
    <row r="492" spans="1:10">
      <c r="A492" s="398"/>
      <c r="B492" s="230" t="s">
        <v>535</v>
      </c>
      <c r="C492" s="231" t="s">
        <v>112</v>
      </c>
      <c r="D492" s="401">
        <v>1.35</v>
      </c>
      <c r="E492" s="964">
        <f>Insumos!C133</f>
        <v>6.4064000000000005</v>
      </c>
      <c r="F492" s="964"/>
      <c r="G492" s="963">
        <f t="shared" si="23"/>
        <v>8.65</v>
      </c>
      <c r="H492" s="963"/>
    </row>
    <row r="493" spans="1:10">
      <c r="A493" s="398"/>
      <c r="B493" s="955" t="s">
        <v>536</v>
      </c>
      <c r="C493" s="955"/>
      <c r="D493" s="955"/>
      <c r="E493" s="389"/>
      <c r="F493" s="409"/>
      <c r="G493" s="422"/>
      <c r="H493" s="328">
        <f>SUM(G485:H490)</f>
        <v>32.520000000000003</v>
      </c>
    </row>
    <row r="494" spans="1:10">
      <c r="A494" s="398"/>
      <c r="B494" s="955" t="s">
        <v>537</v>
      </c>
      <c r="C494" s="955"/>
      <c r="D494" s="955"/>
      <c r="E494" s="389"/>
      <c r="F494" s="409"/>
      <c r="G494" s="422"/>
      <c r="H494" s="328">
        <f>SUM(G491:H492)</f>
        <v>20.36</v>
      </c>
    </row>
    <row r="495" spans="1:10">
      <c r="A495" s="398"/>
      <c r="B495" s="955" t="s">
        <v>1937</v>
      </c>
      <c r="C495" s="955"/>
      <c r="D495" s="955"/>
      <c r="E495" s="389"/>
      <c r="F495" s="409"/>
      <c r="G495" s="422"/>
      <c r="H495" s="329">
        <f>SUM(H493:H494)</f>
        <v>52.88</v>
      </c>
    </row>
    <row r="496" spans="1:10">
      <c r="A496" s="398"/>
      <c r="B496" s="955" t="s">
        <v>538</v>
      </c>
      <c r="C496" s="955"/>
      <c r="D496" s="955"/>
      <c r="E496" s="389"/>
      <c r="F496" s="411" t="s">
        <v>539</v>
      </c>
      <c r="G496" s="422"/>
      <c r="H496" s="328">
        <f>ROUND(H495*F496,2)</f>
        <v>13.2</v>
      </c>
    </row>
    <row r="497" spans="1:10">
      <c r="A497" s="398"/>
      <c r="B497" s="956" t="s">
        <v>540</v>
      </c>
      <c r="C497" s="956"/>
      <c r="D497" s="956"/>
      <c r="E497" s="740"/>
      <c r="F497" s="768"/>
      <c r="G497" s="772"/>
      <c r="H497" s="771">
        <f>SUM(H495:H496)</f>
        <v>66.08</v>
      </c>
    </row>
    <row r="498" spans="1:10" s="579" customFormat="1">
      <c r="A498" s="601"/>
      <c r="B498" s="780"/>
      <c r="C498" s="780"/>
      <c r="D498" s="780"/>
      <c r="E498" s="740"/>
      <c r="F498" s="768"/>
      <c r="G498" s="772"/>
      <c r="H498" s="771"/>
      <c r="I498" s="400"/>
      <c r="J498" s="404"/>
    </row>
    <row r="499" spans="1:10" s="406" customFormat="1" ht="26.45" customHeight="1">
      <c r="A499" s="602" t="s">
        <v>2329</v>
      </c>
      <c r="B499" s="961" t="s">
        <v>613</v>
      </c>
      <c r="C499" s="961"/>
      <c r="D499" s="961"/>
      <c r="E499" s="961"/>
      <c r="F499" s="961"/>
      <c r="G499" s="418"/>
      <c r="H499" s="428" t="s">
        <v>16</v>
      </c>
      <c r="I499" s="438"/>
      <c r="J499" s="408"/>
    </row>
    <row r="500" spans="1:10">
      <c r="A500" s="398"/>
      <c r="B500" s="230" t="s">
        <v>614</v>
      </c>
      <c r="C500" s="231" t="s">
        <v>16</v>
      </c>
      <c r="D500" s="401">
        <v>1.0963333333333334</v>
      </c>
      <c r="E500" s="959">
        <f>Insumos!C134</f>
        <v>3.4579999999999997</v>
      </c>
      <c r="F500" s="959"/>
      <c r="G500" s="963">
        <f>ROUND(D500*E500,2)</f>
        <v>3.79</v>
      </c>
      <c r="H500" s="963"/>
    </row>
    <row r="501" spans="1:10">
      <c r="A501" s="398"/>
      <c r="B501" s="230" t="s">
        <v>597</v>
      </c>
      <c r="C501" s="231" t="s">
        <v>16</v>
      </c>
      <c r="D501" s="401">
        <v>0.02</v>
      </c>
      <c r="E501" s="959">
        <f>Insumos!C135</f>
        <v>6.8250000000000002</v>
      </c>
      <c r="F501" s="959"/>
      <c r="G501" s="963">
        <f>ROUND(D501*E501,2)</f>
        <v>0.14000000000000001</v>
      </c>
      <c r="H501" s="963"/>
    </row>
    <row r="502" spans="1:10">
      <c r="A502" s="398"/>
      <c r="B502" s="230" t="s">
        <v>615</v>
      </c>
      <c r="C502" s="231" t="s">
        <v>112</v>
      </c>
      <c r="D502" s="401">
        <v>0.1</v>
      </c>
      <c r="E502" s="959">
        <f>Insumos!C136</f>
        <v>8.6722999999999999</v>
      </c>
      <c r="F502" s="959"/>
      <c r="G502" s="963">
        <f>ROUND(D502*E502,2)</f>
        <v>0.87</v>
      </c>
      <c r="H502" s="963"/>
    </row>
    <row r="503" spans="1:10">
      <c r="A503" s="398"/>
      <c r="B503" s="230" t="s">
        <v>535</v>
      </c>
      <c r="C503" s="231" t="s">
        <v>112</v>
      </c>
      <c r="D503" s="401">
        <v>0.1</v>
      </c>
      <c r="E503" s="959">
        <f>Insumos!C137</f>
        <v>6.4064000000000005</v>
      </c>
      <c r="F503" s="959"/>
      <c r="G503" s="963">
        <f>ROUND(D503*E503,2)</f>
        <v>0.64</v>
      </c>
      <c r="H503" s="963"/>
    </row>
    <row r="504" spans="1:10">
      <c r="A504" s="398"/>
      <c r="B504" s="955" t="s">
        <v>536</v>
      </c>
      <c r="C504" s="955"/>
      <c r="D504" s="955"/>
      <c r="E504" s="389"/>
      <c r="F504" s="409"/>
      <c r="G504" s="422"/>
      <c r="H504" s="328">
        <f>SUM(G500:H501)</f>
        <v>3.93</v>
      </c>
    </row>
    <row r="505" spans="1:10">
      <c r="A505" s="398"/>
      <c r="B505" s="955" t="s">
        <v>537</v>
      </c>
      <c r="C505" s="955"/>
      <c r="D505" s="955"/>
      <c r="E505" s="389"/>
      <c r="F505" s="409"/>
      <c r="G505" s="422"/>
      <c r="H505" s="328">
        <f>SUM(G502:H503)</f>
        <v>1.51</v>
      </c>
    </row>
    <row r="506" spans="1:10">
      <c r="A506" s="398"/>
      <c r="B506" s="955" t="s">
        <v>1937</v>
      </c>
      <c r="C506" s="955"/>
      <c r="D506" s="955"/>
      <c r="E506" s="389"/>
      <c r="F506" s="409"/>
      <c r="G506" s="422"/>
      <c r="H506" s="328">
        <f>SUM(H504:H505)</f>
        <v>5.44</v>
      </c>
    </row>
    <row r="507" spans="1:10">
      <c r="A507" s="398"/>
      <c r="B507" s="955" t="s">
        <v>538</v>
      </c>
      <c r="C507" s="955"/>
      <c r="D507" s="955"/>
      <c r="E507" s="389"/>
      <c r="F507" s="411" t="s">
        <v>539</v>
      </c>
      <c r="G507" s="422"/>
      <c r="H507" s="328">
        <f>ROUND(H506*F507,2)</f>
        <v>1.36</v>
      </c>
    </row>
    <row r="508" spans="1:10">
      <c r="A508" s="398"/>
      <c r="B508" s="956" t="s">
        <v>540</v>
      </c>
      <c r="C508" s="956"/>
      <c r="D508" s="956"/>
      <c r="E508" s="740"/>
      <c r="F508" s="768"/>
      <c r="G508" s="772"/>
      <c r="H508" s="771">
        <f>SUM(H506:H507)</f>
        <v>6.8000000000000007</v>
      </c>
    </row>
    <row r="509" spans="1:10" s="579" customFormat="1">
      <c r="A509" s="601"/>
      <c r="B509" s="780"/>
      <c r="C509" s="780"/>
      <c r="D509" s="780"/>
      <c r="E509" s="740"/>
      <c r="F509" s="768"/>
      <c r="G509" s="772"/>
      <c r="H509" s="771"/>
      <c r="I509" s="400"/>
      <c r="J509" s="404"/>
    </row>
    <row r="510" spans="1:10" s="581" customFormat="1" ht="26.45" customHeight="1">
      <c r="A510" s="602" t="s">
        <v>2330</v>
      </c>
      <c r="B510" s="961" t="s">
        <v>613</v>
      </c>
      <c r="C510" s="961"/>
      <c r="D510" s="961"/>
      <c r="E510" s="961"/>
      <c r="F510" s="961"/>
      <c r="G510" s="418"/>
      <c r="H510" s="428" t="s">
        <v>16</v>
      </c>
      <c r="I510" s="438"/>
      <c r="J510" s="604"/>
    </row>
    <row r="511" spans="1:10" s="579" customFormat="1">
      <c r="A511" s="601"/>
      <c r="B511" s="595" t="s">
        <v>614</v>
      </c>
      <c r="C511" s="596" t="s">
        <v>16</v>
      </c>
      <c r="D511" s="401">
        <v>1.0963333333333334</v>
      </c>
      <c r="E511" s="959">
        <f>Insumos!C144</f>
        <v>8.6722999999999999</v>
      </c>
      <c r="F511" s="959"/>
      <c r="G511" s="963">
        <f>ROUND(D511*E511,2)</f>
        <v>9.51</v>
      </c>
      <c r="H511" s="963"/>
      <c r="I511" s="400"/>
      <c r="J511" s="404"/>
    </row>
    <row r="512" spans="1:10" s="579" customFormat="1">
      <c r="A512" s="601"/>
      <c r="B512" s="595" t="s">
        <v>597</v>
      </c>
      <c r="C512" s="596" t="s">
        <v>16</v>
      </c>
      <c r="D512" s="401">
        <v>0.02</v>
      </c>
      <c r="E512" s="959">
        <f>Insumos!C145</f>
        <v>6.4064000000000005</v>
      </c>
      <c r="F512" s="959"/>
      <c r="G512" s="963">
        <f>ROUND(D512*E512,2)</f>
        <v>0.13</v>
      </c>
      <c r="H512" s="963"/>
      <c r="I512" s="400"/>
      <c r="J512" s="404"/>
    </row>
    <row r="513" spans="1:10" s="579" customFormat="1">
      <c r="A513" s="601"/>
      <c r="B513" s="595" t="s">
        <v>615</v>
      </c>
      <c r="C513" s="596" t="s">
        <v>112</v>
      </c>
      <c r="D513" s="401">
        <v>0.1</v>
      </c>
      <c r="E513" s="959">
        <f>Insumos!C146</f>
        <v>31.85</v>
      </c>
      <c r="F513" s="959"/>
      <c r="G513" s="963">
        <f>ROUND(D513*E513,2)</f>
        <v>3.19</v>
      </c>
      <c r="H513" s="963"/>
      <c r="I513" s="400"/>
      <c r="J513" s="404"/>
    </row>
    <row r="514" spans="1:10" s="579" customFormat="1">
      <c r="A514" s="601"/>
      <c r="B514" s="595" t="s">
        <v>535</v>
      </c>
      <c r="C514" s="596" t="s">
        <v>112</v>
      </c>
      <c r="D514" s="401">
        <v>0.1</v>
      </c>
      <c r="E514" s="959">
        <f>Insumos!C147</f>
        <v>0.50050000000000006</v>
      </c>
      <c r="F514" s="959"/>
      <c r="G514" s="963">
        <f>ROUND(D514*E514,2)</f>
        <v>0.05</v>
      </c>
      <c r="H514" s="963"/>
      <c r="I514" s="400"/>
      <c r="J514" s="404"/>
    </row>
    <row r="515" spans="1:10" s="579" customFormat="1">
      <c r="A515" s="601"/>
      <c r="B515" s="955" t="s">
        <v>536</v>
      </c>
      <c r="C515" s="955"/>
      <c r="D515" s="955"/>
      <c r="E515" s="737"/>
      <c r="F515" s="605"/>
      <c r="G515" s="422"/>
      <c r="H515" s="598">
        <f>SUM(G511:H512)</f>
        <v>9.64</v>
      </c>
      <c r="I515" s="400"/>
      <c r="J515" s="404"/>
    </row>
    <row r="516" spans="1:10" s="579" customFormat="1">
      <c r="A516" s="601"/>
      <c r="B516" s="955" t="s">
        <v>537</v>
      </c>
      <c r="C516" s="955"/>
      <c r="D516" s="955"/>
      <c r="E516" s="737"/>
      <c r="F516" s="605"/>
      <c r="G516" s="422"/>
      <c r="H516" s="598">
        <f>SUM(G513:H514)</f>
        <v>3.2399999999999998</v>
      </c>
      <c r="I516" s="400"/>
      <c r="J516" s="404"/>
    </row>
    <row r="517" spans="1:10" s="579" customFormat="1">
      <c r="A517" s="601"/>
      <c r="B517" s="955" t="s">
        <v>1937</v>
      </c>
      <c r="C517" s="955"/>
      <c r="D517" s="955"/>
      <c r="E517" s="737"/>
      <c r="F517" s="605"/>
      <c r="G517" s="422"/>
      <c r="H517" s="598">
        <f>SUM(H515:H516)</f>
        <v>12.88</v>
      </c>
      <c r="I517" s="400"/>
      <c r="J517" s="404"/>
    </row>
    <row r="518" spans="1:10" s="579" customFormat="1">
      <c r="A518" s="601"/>
      <c r="B518" s="955" t="s">
        <v>538</v>
      </c>
      <c r="C518" s="955"/>
      <c r="D518" s="955"/>
      <c r="E518" s="737"/>
      <c r="F518" s="607" t="s">
        <v>539</v>
      </c>
      <c r="G518" s="422"/>
      <c r="H518" s="598">
        <f>ROUND(H517*F518,2)</f>
        <v>3.21</v>
      </c>
      <c r="I518" s="400"/>
      <c r="J518" s="404"/>
    </row>
    <row r="519" spans="1:10" s="579" customFormat="1">
      <c r="A519" s="601"/>
      <c r="B519" s="956" t="s">
        <v>540</v>
      </c>
      <c r="C519" s="956"/>
      <c r="D519" s="956"/>
      <c r="E519" s="740"/>
      <c r="F519" s="768"/>
      <c r="G519" s="772"/>
      <c r="H519" s="771">
        <f>SUM(H517:H518)</f>
        <v>16.09</v>
      </c>
      <c r="I519" s="400"/>
      <c r="J519" s="404"/>
    </row>
    <row r="520" spans="1:10" s="579" customFormat="1">
      <c r="A520" s="601"/>
      <c r="B520" s="780"/>
      <c r="C520" s="780"/>
      <c r="D520" s="780"/>
      <c r="E520" s="740"/>
      <c r="F520" s="768"/>
      <c r="G520" s="772"/>
      <c r="H520" s="771"/>
      <c r="I520" s="400"/>
      <c r="J520" s="404"/>
    </row>
    <row r="521" spans="1:10" s="406" customFormat="1" ht="25.9" customHeight="1">
      <c r="A521" s="403" t="s">
        <v>2331</v>
      </c>
      <c r="B521" s="961" t="s">
        <v>616</v>
      </c>
      <c r="C521" s="961"/>
      <c r="D521" s="961"/>
      <c r="E521" s="961"/>
      <c r="F521" s="961"/>
      <c r="G521" s="418"/>
      <c r="H521" s="428" t="s">
        <v>16</v>
      </c>
      <c r="I521" s="407"/>
      <c r="J521" s="408"/>
    </row>
    <row r="522" spans="1:10">
      <c r="A522" s="398"/>
      <c r="B522" s="230" t="s">
        <v>617</v>
      </c>
      <c r="C522" s="231" t="s">
        <v>16</v>
      </c>
      <c r="D522" s="401">
        <v>1.0977999999999999</v>
      </c>
      <c r="E522" s="959">
        <f>Insumos!C138</f>
        <v>3.5489999999999999</v>
      </c>
      <c r="F522" s="959"/>
      <c r="G522" s="963">
        <f>ROUND(D522*E522,2)</f>
        <v>3.9</v>
      </c>
      <c r="H522" s="963"/>
    </row>
    <row r="523" spans="1:10">
      <c r="A523" s="398"/>
      <c r="B523" s="230" t="s">
        <v>597</v>
      </c>
      <c r="C523" s="231" t="s">
        <v>16</v>
      </c>
      <c r="D523" s="401">
        <v>3.5999999999999997E-2</v>
      </c>
      <c r="E523" s="959">
        <f>Insumos!C139</f>
        <v>6.8250000000000002</v>
      </c>
      <c r="F523" s="959"/>
      <c r="G523" s="963">
        <f>ROUND(D523*E523,2)</f>
        <v>0.25</v>
      </c>
      <c r="H523" s="963"/>
    </row>
    <row r="524" spans="1:10">
      <c r="A524" s="398"/>
      <c r="B524" s="230" t="s">
        <v>615</v>
      </c>
      <c r="C524" s="231" t="s">
        <v>112</v>
      </c>
      <c r="D524" s="401">
        <v>0.1</v>
      </c>
      <c r="E524" s="959">
        <f>Insumos!C140</f>
        <v>8.6722999999999999</v>
      </c>
      <c r="F524" s="959"/>
      <c r="G524" s="963">
        <f>ROUND(D524*E524,2)</f>
        <v>0.87</v>
      </c>
      <c r="H524" s="963"/>
    </row>
    <row r="525" spans="1:10">
      <c r="A525" s="398"/>
      <c r="B525" s="230" t="s">
        <v>535</v>
      </c>
      <c r="C525" s="231" t="s">
        <v>112</v>
      </c>
      <c r="D525" s="401">
        <v>0.1</v>
      </c>
      <c r="E525" s="959">
        <f>Insumos!C141</f>
        <v>6.4064000000000005</v>
      </c>
      <c r="F525" s="959"/>
      <c r="G525" s="963">
        <f>ROUND(D525*E525,2)</f>
        <v>0.64</v>
      </c>
      <c r="H525" s="963"/>
    </row>
    <row r="526" spans="1:10">
      <c r="A526" s="398"/>
      <c r="B526" s="955" t="s">
        <v>536</v>
      </c>
      <c r="C526" s="955"/>
      <c r="D526" s="955"/>
      <c r="E526" s="389"/>
      <c r="F526" s="409"/>
      <c r="G526" s="422"/>
      <c r="H526" s="328">
        <f>SUM(G522:H523)</f>
        <v>4.1500000000000004</v>
      </c>
    </row>
    <row r="527" spans="1:10">
      <c r="A527" s="398"/>
      <c r="B527" s="955" t="s">
        <v>537</v>
      </c>
      <c r="C527" s="955"/>
      <c r="D527" s="955"/>
      <c r="E527" s="389"/>
      <c r="F527" s="409"/>
      <c r="G527" s="422"/>
      <c r="H527" s="328">
        <f>SUM(G524:H525)</f>
        <v>1.51</v>
      </c>
    </row>
    <row r="528" spans="1:10">
      <c r="A528" s="398"/>
      <c r="B528" s="955" t="s">
        <v>1937</v>
      </c>
      <c r="C528" s="955"/>
      <c r="D528" s="955"/>
      <c r="E528" s="389"/>
      <c r="F528" s="409"/>
      <c r="G528" s="422"/>
      <c r="H528" s="328">
        <f>SUM(H526:H527)</f>
        <v>5.66</v>
      </c>
    </row>
    <row r="529" spans="1:10">
      <c r="A529" s="398"/>
      <c r="B529" s="955" t="s">
        <v>538</v>
      </c>
      <c r="C529" s="955"/>
      <c r="D529" s="955"/>
      <c r="E529" s="389"/>
      <c r="F529" s="411" t="s">
        <v>539</v>
      </c>
      <c r="G529" s="422"/>
      <c r="H529" s="328">
        <f>ROUND(H528*F529,2)</f>
        <v>1.41</v>
      </c>
    </row>
    <row r="530" spans="1:10">
      <c r="A530" s="398"/>
      <c r="B530" s="956" t="s">
        <v>540</v>
      </c>
      <c r="C530" s="956"/>
      <c r="D530" s="956"/>
      <c r="E530" s="740"/>
      <c r="F530" s="768"/>
      <c r="G530" s="772"/>
      <c r="H530" s="771">
        <f>SUM(H528:H529)</f>
        <v>7.07</v>
      </c>
    </row>
    <row r="531" spans="1:10" s="579" customFormat="1">
      <c r="A531" s="601"/>
      <c r="B531" s="780"/>
      <c r="C531" s="780"/>
      <c r="D531" s="780"/>
      <c r="E531" s="740"/>
      <c r="F531" s="768"/>
      <c r="G531" s="772"/>
      <c r="H531" s="771"/>
      <c r="I531" s="400"/>
      <c r="J531" s="404"/>
    </row>
    <row r="532" spans="1:10" s="581" customFormat="1" ht="25.9" customHeight="1">
      <c r="A532" s="602" t="s">
        <v>2332</v>
      </c>
      <c r="B532" s="961" t="s">
        <v>616</v>
      </c>
      <c r="C532" s="961"/>
      <c r="D532" s="961"/>
      <c r="E532" s="961"/>
      <c r="F532" s="961"/>
      <c r="G532" s="418"/>
      <c r="H532" s="428" t="s">
        <v>16</v>
      </c>
      <c r="I532" s="603"/>
      <c r="J532" s="604"/>
    </row>
    <row r="533" spans="1:10" s="579" customFormat="1">
      <c r="A533" s="601"/>
      <c r="B533" s="595" t="s">
        <v>617</v>
      </c>
      <c r="C533" s="596" t="s">
        <v>16</v>
      </c>
      <c r="D533" s="401">
        <v>1.0977999999999999</v>
      </c>
      <c r="E533" s="959">
        <f>Insumos!C148</f>
        <v>86.45</v>
      </c>
      <c r="F533" s="959"/>
      <c r="G533" s="963">
        <f>ROUND(D533*E533,2)</f>
        <v>94.9</v>
      </c>
      <c r="H533" s="963"/>
      <c r="I533" s="400"/>
      <c r="J533" s="404"/>
    </row>
    <row r="534" spans="1:10" s="579" customFormat="1">
      <c r="A534" s="601"/>
      <c r="B534" s="595" t="s">
        <v>597</v>
      </c>
      <c r="C534" s="596" t="s">
        <v>16</v>
      </c>
      <c r="D534" s="401">
        <v>3.5999999999999997E-2</v>
      </c>
      <c r="E534" s="959">
        <f>Insumos!C149</f>
        <v>81.900000000000006</v>
      </c>
      <c r="F534" s="959"/>
      <c r="G534" s="963">
        <f>ROUND(D534*E534,2)</f>
        <v>2.95</v>
      </c>
      <c r="H534" s="963"/>
      <c r="I534" s="400"/>
      <c r="J534" s="404"/>
    </row>
    <row r="535" spans="1:10" s="579" customFormat="1">
      <c r="A535" s="601"/>
      <c r="B535" s="595" t="s">
        <v>615</v>
      </c>
      <c r="C535" s="596" t="s">
        <v>112</v>
      </c>
      <c r="D535" s="401">
        <v>0.1</v>
      </c>
      <c r="E535" s="959">
        <f>Insumos!C150</f>
        <v>6.8250000000000002</v>
      </c>
      <c r="F535" s="959"/>
      <c r="G535" s="963">
        <f>ROUND(D535*E535,2)</f>
        <v>0.68</v>
      </c>
      <c r="H535" s="963"/>
      <c r="I535" s="400"/>
      <c r="J535" s="404"/>
    </row>
    <row r="536" spans="1:10" s="579" customFormat="1">
      <c r="A536" s="601"/>
      <c r="B536" s="595" t="s">
        <v>535</v>
      </c>
      <c r="C536" s="596" t="s">
        <v>112</v>
      </c>
      <c r="D536" s="401">
        <v>0.1</v>
      </c>
      <c r="E536" s="959">
        <f>Insumos!C151</f>
        <v>6.4064000000000005</v>
      </c>
      <c r="F536" s="959"/>
      <c r="G536" s="963">
        <f>ROUND(D536*E536,2)</f>
        <v>0.64</v>
      </c>
      <c r="H536" s="963"/>
      <c r="I536" s="400"/>
      <c r="J536" s="404"/>
    </row>
    <row r="537" spans="1:10" s="579" customFormat="1">
      <c r="A537" s="601"/>
      <c r="B537" s="955" t="s">
        <v>536</v>
      </c>
      <c r="C537" s="955"/>
      <c r="D537" s="955"/>
      <c r="E537" s="737"/>
      <c r="F537" s="605"/>
      <c r="G537" s="422"/>
      <c r="H537" s="598">
        <f>SUM(G533:H534)</f>
        <v>97.850000000000009</v>
      </c>
      <c r="I537" s="400"/>
      <c r="J537" s="404"/>
    </row>
    <row r="538" spans="1:10" s="579" customFormat="1">
      <c r="A538" s="601"/>
      <c r="B538" s="955" t="s">
        <v>537</v>
      </c>
      <c r="C538" s="955"/>
      <c r="D538" s="955"/>
      <c r="E538" s="737"/>
      <c r="F538" s="605"/>
      <c r="G538" s="422"/>
      <c r="H538" s="598">
        <f>SUM(G535:H536)</f>
        <v>1.32</v>
      </c>
      <c r="I538" s="400"/>
      <c r="J538" s="404"/>
    </row>
    <row r="539" spans="1:10" s="579" customFormat="1">
      <c r="A539" s="601"/>
      <c r="B539" s="955" t="s">
        <v>1937</v>
      </c>
      <c r="C539" s="955"/>
      <c r="D539" s="955"/>
      <c r="E539" s="737"/>
      <c r="F539" s="605"/>
      <c r="G539" s="422"/>
      <c r="H539" s="598">
        <f>SUM(H537:H538)</f>
        <v>99.17</v>
      </c>
      <c r="I539" s="400"/>
      <c r="J539" s="404"/>
    </row>
    <row r="540" spans="1:10" s="579" customFormat="1">
      <c r="A540" s="601"/>
      <c r="B540" s="955" t="s">
        <v>538</v>
      </c>
      <c r="C540" s="955"/>
      <c r="D540" s="955"/>
      <c r="E540" s="737"/>
      <c r="F540" s="607" t="s">
        <v>539</v>
      </c>
      <c r="G540" s="422"/>
      <c r="H540" s="598">
        <f>ROUND(H539*F540,2)</f>
        <v>24.75</v>
      </c>
      <c r="I540" s="400"/>
      <c r="J540" s="404"/>
    </row>
    <row r="541" spans="1:10" s="579" customFormat="1">
      <c r="A541" s="601"/>
      <c r="B541" s="956" t="s">
        <v>540</v>
      </c>
      <c r="C541" s="956"/>
      <c r="D541" s="956"/>
      <c r="E541" s="740"/>
      <c r="F541" s="768"/>
      <c r="G541" s="772"/>
      <c r="H541" s="771">
        <f>SUM(H539:H540)</f>
        <v>123.92</v>
      </c>
      <c r="I541" s="400"/>
      <c r="J541" s="404"/>
    </row>
    <row r="542" spans="1:10" s="579" customFormat="1">
      <c r="A542" s="601"/>
      <c r="B542" s="780"/>
      <c r="C542" s="780"/>
      <c r="D542" s="780"/>
      <c r="E542" s="740"/>
      <c r="F542" s="768"/>
      <c r="G542" s="772"/>
      <c r="H542" s="771"/>
      <c r="I542" s="400"/>
      <c r="J542" s="404"/>
    </row>
    <row r="543" spans="1:10" s="581" customFormat="1" ht="25.9" customHeight="1">
      <c r="A543" s="602" t="s">
        <v>2333</v>
      </c>
      <c r="B543" s="961" t="s">
        <v>616</v>
      </c>
      <c r="C543" s="961"/>
      <c r="D543" s="961"/>
      <c r="E543" s="961"/>
      <c r="F543" s="961"/>
      <c r="G543" s="418"/>
      <c r="H543" s="428" t="s">
        <v>16</v>
      </c>
      <c r="I543" s="603"/>
      <c r="J543" s="604"/>
    </row>
    <row r="544" spans="1:10" s="579" customFormat="1">
      <c r="A544" s="601"/>
      <c r="B544" s="595" t="s">
        <v>617</v>
      </c>
      <c r="C544" s="596" t="s">
        <v>16</v>
      </c>
      <c r="D544" s="401">
        <v>1.0977999999999999</v>
      </c>
      <c r="E544" s="959">
        <f>Insumos!C158</f>
        <v>6.4064000000000005</v>
      </c>
      <c r="F544" s="959"/>
      <c r="G544" s="963">
        <f>ROUND(D544*E544,2)</f>
        <v>7.03</v>
      </c>
      <c r="H544" s="963"/>
      <c r="I544" s="400"/>
      <c r="J544" s="404"/>
    </row>
    <row r="545" spans="1:10" s="579" customFormat="1">
      <c r="A545" s="601"/>
      <c r="B545" s="595" t="s">
        <v>597</v>
      </c>
      <c r="C545" s="596" t="s">
        <v>16</v>
      </c>
      <c r="D545" s="401">
        <v>3.5999999999999997E-2</v>
      </c>
      <c r="E545" s="959">
        <f>Insumos!C159</f>
        <v>8.6722999999999999</v>
      </c>
      <c r="F545" s="959"/>
      <c r="G545" s="963">
        <f>ROUND(D545*E545,2)</f>
        <v>0.31</v>
      </c>
      <c r="H545" s="963"/>
      <c r="I545" s="400"/>
      <c r="J545" s="404"/>
    </row>
    <row r="546" spans="1:10" s="579" customFormat="1">
      <c r="A546" s="601"/>
      <c r="B546" s="595" t="s">
        <v>615</v>
      </c>
      <c r="C546" s="596" t="s">
        <v>112</v>
      </c>
      <c r="D546" s="401">
        <v>0.1</v>
      </c>
      <c r="E546" s="959">
        <f>Insumos!C160</f>
        <v>0.50050000000000006</v>
      </c>
      <c r="F546" s="959"/>
      <c r="G546" s="963">
        <f>ROUND(D546*E546,2)</f>
        <v>0.05</v>
      </c>
      <c r="H546" s="963"/>
      <c r="I546" s="400"/>
      <c r="J546" s="404"/>
    </row>
    <row r="547" spans="1:10" s="579" customFormat="1">
      <c r="A547" s="601"/>
      <c r="B547" s="595" t="s">
        <v>535</v>
      </c>
      <c r="C547" s="596" t="s">
        <v>112</v>
      </c>
      <c r="D547" s="401">
        <v>0.1</v>
      </c>
      <c r="E547" s="959">
        <f>Insumos!C161</f>
        <v>16.7349</v>
      </c>
      <c r="F547" s="959"/>
      <c r="G547" s="963">
        <f>ROUND(D547*E547,2)</f>
        <v>1.67</v>
      </c>
      <c r="H547" s="963"/>
      <c r="I547" s="400"/>
      <c r="J547" s="404"/>
    </row>
    <row r="548" spans="1:10" s="579" customFormat="1">
      <c r="A548" s="601"/>
      <c r="B548" s="955" t="s">
        <v>536</v>
      </c>
      <c r="C548" s="955"/>
      <c r="D548" s="955"/>
      <c r="E548" s="737"/>
      <c r="F548" s="605"/>
      <c r="G548" s="422"/>
      <c r="H548" s="598">
        <f>SUM(G544:H545)</f>
        <v>7.34</v>
      </c>
      <c r="I548" s="400"/>
      <c r="J548" s="404"/>
    </row>
    <row r="549" spans="1:10" s="579" customFormat="1">
      <c r="A549" s="601"/>
      <c r="B549" s="955" t="s">
        <v>537</v>
      </c>
      <c r="C549" s="955"/>
      <c r="D549" s="955"/>
      <c r="E549" s="737"/>
      <c r="F549" s="605"/>
      <c r="G549" s="422"/>
      <c r="H549" s="598">
        <f>SUM(G546:H547)</f>
        <v>1.72</v>
      </c>
      <c r="I549" s="400"/>
      <c r="J549" s="404"/>
    </row>
    <row r="550" spans="1:10" s="579" customFormat="1">
      <c r="A550" s="601"/>
      <c r="B550" s="955" t="s">
        <v>1937</v>
      </c>
      <c r="C550" s="955"/>
      <c r="D550" s="955"/>
      <c r="E550" s="737"/>
      <c r="F550" s="605"/>
      <c r="G550" s="422"/>
      <c r="H550" s="598">
        <f>SUM(H548:H549)</f>
        <v>9.06</v>
      </c>
      <c r="I550" s="400"/>
      <c r="J550" s="404"/>
    </row>
    <row r="551" spans="1:10" s="579" customFormat="1">
      <c r="A551" s="601"/>
      <c r="B551" s="955" t="s">
        <v>538</v>
      </c>
      <c r="C551" s="955"/>
      <c r="D551" s="955"/>
      <c r="E551" s="737"/>
      <c r="F551" s="607" t="s">
        <v>539</v>
      </c>
      <c r="G551" s="422"/>
      <c r="H551" s="598">
        <f>ROUND(H550*F551,2)</f>
        <v>2.2599999999999998</v>
      </c>
      <c r="I551" s="400"/>
      <c r="J551" s="404"/>
    </row>
    <row r="552" spans="1:10" s="579" customFormat="1">
      <c r="A552" s="601"/>
      <c r="B552" s="956" t="s">
        <v>540</v>
      </c>
      <c r="C552" s="956"/>
      <c r="D552" s="956"/>
      <c r="E552" s="740"/>
      <c r="F552" s="768"/>
      <c r="G552" s="772"/>
      <c r="H552" s="771">
        <f>SUM(H550:H551)</f>
        <v>11.32</v>
      </c>
      <c r="I552" s="400"/>
      <c r="J552" s="404"/>
    </row>
    <row r="553" spans="1:10" s="579" customFormat="1">
      <c r="A553" s="601"/>
      <c r="B553" s="780"/>
      <c r="C553" s="780"/>
      <c r="D553" s="780"/>
      <c r="E553" s="740"/>
      <c r="F553" s="768"/>
      <c r="G553" s="772"/>
      <c r="H553" s="771"/>
      <c r="I553" s="400"/>
      <c r="J553" s="404"/>
    </row>
    <row r="554" spans="1:10" s="581" customFormat="1" ht="25.9" customHeight="1">
      <c r="A554" s="602" t="s">
        <v>2334</v>
      </c>
      <c r="B554" s="961" t="s">
        <v>616</v>
      </c>
      <c r="C554" s="961"/>
      <c r="D554" s="961"/>
      <c r="E554" s="961"/>
      <c r="F554" s="961"/>
      <c r="G554" s="418"/>
      <c r="H554" s="428" t="s">
        <v>16</v>
      </c>
      <c r="I554" s="603"/>
      <c r="J554" s="604"/>
    </row>
    <row r="555" spans="1:10" s="579" customFormat="1">
      <c r="A555" s="601"/>
      <c r="B555" s="595" t="s">
        <v>617</v>
      </c>
      <c r="C555" s="596" t="s">
        <v>16</v>
      </c>
      <c r="D555" s="401">
        <v>1.0977999999999999</v>
      </c>
      <c r="E555" s="959">
        <f>Insumos!C168</f>
        <v>3.64</v>
      </c>
      <c r="F555" s="959"/>
      <c r="G555" s="963">
        <f>ROUND(D555*E555,2)</f>
        <v>4</v>
      </c>
      <c r="H555" s="963"/>
      <c r="I555" s="400"/>
      <c r="J555" s="404"/>
    </row>
    <row r="556" spans="1:10" s="579" customFormat="1">
      <c r="A556" s="601"/>
      <c r="B556" s="595" t="s">
        <v>597</v>
      </c>
      <c r="C556" s="596" t="s">
        <v>16</v>
      </c>
      <c r="D556" s="401">
        <v>3.5999999999999997E-2</v>
      </c>
      <c r="E556" s="959">
        <f>Insumos!C169</f>
        <v>0.50050000000000006</v>
      </c>
      <c r="F556" s="959"/>
      <c r="G556" s="963">
        <f>ROUND(D556*E556,2)</f>
        <v>0.02</v>
      </c>
      <c r="H556" s="963"/>
      <c r="I556" s="400"/>
      <c r="J556" s="404"/>
    </row>
    <row r="557" spans="1:10" s="579" customFormat="1">
      <c r="A557" s="601"/>
      <c r="B557" s="595" t="s">
        <v>615</v>
      </c>
      <c r="C557" s="596" t="s">
        <v>112</v>
      </c>
      <c r="D557" s="401">
        <v>0.1</v>
      </c>
      <c r="E557" s="959">
        <f>Insumos!C170</f>
        <v>6.4064000000000005</v>
      </c>
      <c r="F557" s="959"/>
      <c r="G557" s="963">
        <f>ROUND(D557*E557,2)</f>
        <v>0.64</v>
      </c>
      <c r="H557" s="963"/>
      <c r="I557" s="400"/>
      <c r="J557" s="404"/>
    </row>
    <row r="558" spans="1:10" s="579" customFormat="1">
      <c r="A558" s="601"/>
      <c r="B558" s="595" t="s">
        <v>535</v>
      </c>
      <c r="C558" s="596" t="s">
        <v>112</v>
      </c>
      <c r="D558" s="401">
        <v>0.1</v>
      </c>
      <c r="E558" s="959">
        <f>Insumos!C171</f>
        <v>8.6722999999999999</v>
      </c>
      <c r="F558" s="959"/>
      <c r="G558" s="963">
        <f>ROUND(D558*E558,2)</f>
        <v>0.87</v>
      </c>
      <c r="H558" s="963"/>
      <c r="I558" s="400"/>
      <c r="J558" s="404"/>
    </row>
    <row r="559" spans="1:10" s="579" customFormat="1">
      <c r="A559" s="601"/>
      <c r="B559" s="955" t="s">
        <v>536</v>
      </c>
      <c r="C559" s="955"/>
      <c r="D559" s="955"/>
      <c r="E559" s="737"/>
      <c r="F559" s="605"/>
      <c r="G559" s="422"/>
      <c r="H559" s="598">
        <f>SUM(G555:H556)</f>
        <v>4.0199999999999996</v>
      </c>
      <c r="I559" s="400"/>
      <c r="J559" s="404"/>
    </row>
    <row r="560" spans="1:10" s="579" customFormat="1">
      <c r="A560" s="601"/>
      <c r="B560" s="955" t="s">
        <v>537</v>
      </c>
      <c r="C560" s="955"/>
      <c r="D560" s="955"/>
      <c r="E560" s="737"/>
      <c r="F560" s="605"/>
      <c r="G560" s="422"/>
      <c r="H560" s="598">
        <f>SUM(G557:H558)</f>
        <v>1.51</v>
      </c>
      <c r="I560" s="400"/>
      <c r="J560" s="404"/>
    </row>
    <row r="561" spans="1:10" s="579" customFormat="1">
      <c r="A561" s="601"/>
      <c r="B561" s="955" t="s">
        <v>1937</v>
      </c>
      <c r="C561" s="955"/>
      <c r="D561" s="955"/>
      <c r="E561" s="737"/>
      <c r="F561" s="605"/>
      <c r="G561" s="422"/>
      <c r="H561" s="598">
        <f>SUM(H559:H560)</f>
        <v>5.5299999999999994</v>
      </c>
      <c r="I561" s="400"/>
      <c r="J561" s="404"/>
    </row>
    <row r="562" spans="1:10" s="579" customFormat="1">
      <c r="A562" s="601"/>
      <c r="B562" s="955" t="s">
        <v>538</v>
      </c>
      <c r="C562" s="955"/>
      <c r="D562" s="955"/>
      <c r="E562" s="737"/>
      <c r="F562" s="607" t="s">
        <v>539</v>
      </c>
      <c r="G562" s="422"/>
      <c r="H562" s="598">
        <f>ROUND(H561*F562,2)</f>
        <v>1.38</v>
      </c>
      <c r="I562" s="400"/>
      <c r="J562" s="404"/>
    </row>
    <row r="563" spans="1:10" s="579" customFormat="1">
      <c r="A563" s="601"/>
      <c r="B563" s="956" t="s">
        <v>540</v>
      </c>
      <c r="C563" s="956"/>
      <c r="D563" s="956"/>
      <c r="E563" s="740"/>
      <c r="F563" s="768"/>
      <c r="G563" s="772"/>
      <c r="H563" s="771">
        <f>SUM(H561:H562)</f>
        <v>6.9099999999999993</v>
      </c>
      <c r="I563" s="400"/>
      <c r="J563" s="404"/>
    </row>
    <row r="564" spans="1:10" s="579" customFormat="1">
      <c r="A564" s="601"/>
      <c r="B564" s="780"/>
      <c r="C564" s="780"/>
      <c r="D564" s="780"/>
      <c r="E564" s="740"/>
      <c r="F564" s="768"/>
      <c r="G564" s="772"/>
      <c r="H564" s="771"/>
      <c r="I564" s="400"/>
      <c r="J564" s="404"/>
    </row>
    <row r="565" spans="1:10" s="406" customFormat="1" ht="27" customHeight="1">
      <c r="A565" s="403" t="s">
        <v>2335</v>
      </c>
      <c r="B565" s="961" t="s">
        <v>622</v>
      </c>
      <c r="C565" s="961"/>
      <c r="D565" s="961"/>
      <c r="E565" s="961"/>
      <c r="F565" s="961"/>
      <c r="G565" s="418"/>
      <c r="H565" s="428" t="s">
        <v>16</v>
      </c>
      <c r="I565" s="407"/>
      <c r="J565" s="408"/>
    </row>
    <row r="566" spans="1:10">
      <c r="A566" s="398"/>
      <c r="B566" s="230" t="s">
        <v>597</v>
      </c>
      <c r="C566" s="231" t="s">
        <v>16</v>
      </c>
      <c r="D566" s="401">
        <v>3.5000000000000003E-2</v>
      </c>
      <c r="E566" s="959">
        <f>Insumos!C142</f>
        <v>6.8250000000000002</v>
      </c>
      <c r="F566" s="959"/>
      <c r="G566" s="963">
        <f>ROUND(D566*E566,2)</f>
        <v>0.24</v>
      </c>
      <c r="H566" s="963"/>
    </row>
    <row r="567" spans="1:10">
      <c r="A567" s="398"/>
      <c r="B567" s="230" t="s">
        <v>623</v>
      </c>
      <c r="C567" s="231" t="s">
        <v>16</v>
      </c>
      <c r="D567" s="401">
        <v>1.0945</v>
      </c>
      <c r="E567" s="959">
        <f>Insumos!C143</f>
        <v>3.5489999999999999</v>
      </c>
      <c r="F567" s="959"/>
      <c r="G567" s="963">
        <f>ROUND(D567*E567,2)</f>
        <v>3.88</v>
      </c>
      <c r="H567" s="963"/>
    </row>
    <row r="568" spans="1:10">
      <c r="A568" s="398"/>
      <c r="B568" s="230" t="s">
        <v>615</v>
      </c>
      <c r="C568" s="231" t="s">
        <v>112</v>
      </c>
      <c r="D568" s="401">
        <v>7.0000000000000007E-2</v>
      </c>
      <c r="E568" s="959">
        <f>Insumos!C144</f>
        <v>8.6722999999999999</v>
      </c>
      <c r="F568" s="959"/>
      <c r="G568" s="963">
        <f>ROUND(D568*E568,2)</f>
        <v>0.61</v>
      </c>
      <c r="H568" s="963"/>
    </row>
    <row r="569" spans="1:10">
      <c r="A569" s="398"/>
      <c r="B569" s="230" t="s">
        <v>535</v>
      </c>
      <c r="C569" s="231" t="s">
        <v>112</v>
      </c>
      <c r="D569" s="401">
        <v>7.0000000000000007E-2</v>
      </c>
      <c r="E569" s="959">
        <f>Insumos!C145</f>
        <v>6.4064000000000005</v>
      </c>
      <c r="F569" s="959"/>
      <c r="G569" s="963">
        <f>ROUND(D569*E569,2)</f>
        <v>0.45</v>
      </c>
      <c r="H569" s="963"/>
    </row>
    <row r="570" spans="1:10">
      <c r="A570" s="398"/>
      <c r="B570" s="955" t="s">
        <v>536</v>
      </c>
      <c r="C570" s="955"/>
      <c r="D570" s="955"/>
      <c r="E570" s="389"/>
      <c r="F570" s="409"/>
      <c r="G570" s="422"/>
      <c r="H570" s="328">
        <f>SUM(G566:H567)</f>
        <v>4.12</v>
      </c>
    </row>
    <row r="571" spans="1:10">
      <c r="A571" s="398"/>
      <c r="B571" s="955" t="s">
        <v>537</v>
      </c>
      <c r="C571" s="955"/>
      <c r="D571" s="955"/>
      <c r="E571" s="389"/>
      <c r="F571" s="409"/>
      <c r="G571" s="422"/>
      <c r="H571" s="328">
        <f>SUM(G568:H569)</f>
        <v>1.06</v>
      </c>
    </row>
    <row r="572" spans="1:10">
      <c r="A572" s="398"/>
      <c r="B572" s="955" t="s">
        <v>1937</v>
      </c>
      <c r="C572" s="955"/>
      <c r="D572" s="955"/>
      <c r="E572" s="389"/>
      <c r="F572" s="439"/>
      <c r="G572" s="422"/>
      <c r="H572" s="328">
        <f>SUM(H570:H571)</f>
        <v>5.18</v>
      </c>
    </row>
    <row r="573" spans="1:10">
      <c r="A573" s="398"/>
      <c r="B573" s="955" t="s">
        <v>538</v>
      </c>
      <c r="C573" s="955"/>
      <c r="D573" s="955"/>
      <c r="E573" s="389"/>
      <c r="F573" s="411" t="s">
        <v>539</v>
      </c>
      <c r="G573" s="422"/>
      <c r="H573" s="328">
        <f>ROUND(H572*F573,2)</f>
        <v>1.29</v>
      </c>
    </row>
    <row r="574" spans="1:10">
      <c r="A574" s="398"/>
      <c r="B574" s="956" t="s">
        <v>540</v>
      </c>
      <c r="C574" s="956"/>
      <c r="D574" s="956"/>
      <c r="E574" s="740"/>
      <c r="F574" s="768"/>
      <c r="G574" s="772"/>
      <c r="H574" s="771">
        <f>SUM(H572:H573)</f>
        <v>6.47</v>
      </c>
    </row>
    <row r="575" spans="1:10" s="579" customFormat="1">
      <c r="A575" s="601"/>
      <c r="B575" s="780"/>
      <c r="C575" s="780"/>
      <c r="D575" s="780"/>
      <c r="E575" s="740"/>
      <c r="F575" s="768"/>
      <c r="G575" s="772"/>
      <c r="H575" s="771"/>
      <c r="I575" s="400"/>
      <c r="J575" s="404"/>
    </row>
    <row r="576" spans="1:10" s="581" customFormat="1" ht="27" customHeight="1">
      <c r="A576" s="602" t="s">
        <v>2336</v>
      </c>
      <c r="B576" s="961" t="s">
        <v>622</v>
      </c>
      <c r="C576" s="961"/>
      <c r="D576" s="961"/>
      <c r="E576" s="961"/>
      <c r="F576" s="961"/>
      <c r="G576" s="418"/>
      <c r="H576" s="428" t="s">
        <v>16</v>
      </c>
      <c r="I576" s="603"/>
      <c r="J576" s="604"/>
    </row>
    <row r="577" spans="1:10" s="579" customFormat="1">
      <c r="A577" s="601"/>
      <c r="B577" s="595" t="s">
        <v>597</v>
      </c>
      <c r="C577" s="596" t="s">
        <v>16</v>
      </c>
      <c r="D577" s="401">
        <v>3.5000000000000003E-2</v>
      </c>
      <c r="E577" s="959">
        <f>Insumos!C152</f>
        <v>13.3497</v>
      </c>
      <c r="F577" s="959"/>
      <c r="G577" s="963">
        <f>ROUND(D577*E577,2)</f>
        <v>0.47</v>
      </c>
      <c r="H577" s="963"/>
      <c r="I577" s="400"/>
      <c r="J577" s="404"/>
    </row>
    <row r="578" spans="1:10" s="579" customFormat="1">
      <c r="A578" s="601"/>
      <c r="B578" s="595" t="s">
        <v>623</v>
      </c>
      <c r="C578" s="596" t="s">
        <v>16</v>
      </c>
      <c r="D578" s="401">
        <v>1.0945</v>
      </c>
      <c r="E578" s="959">
        <f>Insumos!C153</f>
        <v>1.7381</v>
      </c>
      <c r="F578" s="959"/>
      <c r="G578" s="963">
        <f>ROUND(D578*E578,2)</f>
        <v>1.9</v>
      </c>
      <c r="H578" s="963"/>
      <c r="I578" s="400"/>
      <c r="J578" s="404"/>
    </row>
    <row r="579" spans="1:10" s="579" customFormat="1">
      <c r="A579" s="601"/>
      <c r="B579" s="595" t="s">
        <v>615</v>
      </c>
      <c r="C579" s="596" t="s">
        <v>112</v>
      </c>
      <c r="D579" s="401">
        <v>7.0000000000000007E-2</v>
      </c>
      <c r="E579" s="959">
        <f>Insumos!C154</f>
        <v>8.6722999999999999</v>
      </c>
      <c r="F579" s="959"/>
      <c r="G579" s="963">
        <f>ROUND(D579*E579,2)</f>
        <v>0.61</v>
      </c>
      <c r="H579" s="963"/>
      <c r="I579" s="400"/>
      <c r="J579" s="404"/>
    </row>
    <row r="580" spans="1:10" s="579" customFormat="1">
      <c r="A580" s="601"/>
      <c r="B580" s="595" t="s">
        <v>535</v>
      </c>
      <c r="C580" s="596" t="s">
        <v>112</v>
      </c>
      <c r="D580" s="401">
        <v>7.0000000000000007E-2</v>
      </c>
      <c r="E580" s="959">
        <f>Insumos!C155</f>
        <v>6.4064000000000005</v>
      </c>
      <c r="F580" s="959"/>
      <c r="G580" s="963">
        <f>ROUND(D580*E580,2)</f>
        <v>0.45</v>
      </c>
      <c r="H580" s="963"/>
      <c r="I580" s="400"/>
      <c r="J580" s="404"/>
    </row>
    <row r="581" spans="1:10" s="579" customFormat="1">
      <c r="A581" s="601"/>
      <c r="B581" s="955" t="s">
        <v>536</v>
      </c>
      <c r="C581" s="955"/>
      <c r="D581" s="955"/>
      <c r="E581" s="737"/>
      <c r="F581" s="605"/>
      <c r="G581" s="422"/>
      <c r="H581" s="598">
        <f>SUM(G577:H578)</f>
        <v>2.37</v>
      </c>
      <c r="I581" s="400"/>
      <c r="J581" s="404"/>
    </row>
    <row r="582" spans="1:10" s="579" customFormat="1">
      <c r="A582" s="601"/>
      <c r="B582" s="955" t="s">
        <v>537</v>
      </c>
      <c r="C582" s="955"/>
      <c r="D582" s="955"/>
      <c r="E582" s="737"/>
      <c r="F582" s="605"/>
      <c r="G582" s="422"/>
      <c r="H582" s="598">
        <f>SUM(G579:H580)</f>
        <v>1.06</v>
      </c>
      <c r="I582" s="400"/>
      <c r="J582" s="404"/>
    </row>
    <row r="583" spans="1:10" s="579" customFormat="1">
      <c r="A583" s="601"/>
      <c r="B583" s="955" t="s">
        <v>1937</v>
      </c>
      <c r="C583" s="955"/>
      <c r="D583" s="955"/>
      <c r="E583" s="737"/>
      <c r="F583" s="439"/>
      <c r="G583" s="422"/>
      <c r="H583" s="598">
        <f>SUM(H581:H582)</f>
        <v>3.43</v>
      </c>
      <c r="I583" s="400"/>
      <c r="J583" s="404"/>
    </row>
    <row r="584" spans="1:10" s="579" customFormat="1">
      <c r="A584" s="601"/>
      <c r="B584" s="955" t="s">
        <v>538</v>
      </c>
      <c r="C584" s="955"/>
      <c r="D584" s="955"/>
      <c r="E584" s="737"/>
      <c r="F584" s="607" t="s">
        <v>539</v>
      </c>
      <c r="G584" s="422"/>
      <c r="H584" s="598">
        <f>ROUND(H583*F584,2)</f>
        <v>0.86</v>
      </c>
      <c r="I584" s="400"/>
      <c r="J584" s="404"/>
    </row>
    <row r="585" spans="1:10" s="579" customFormat="1">
      <c r="A585" s="601"/>
      <c r="B585" s="956" t="s">
        <v>540</v>
      </c>
      <c r="C585" s="956"/>
      <c r="D585" s="956"/>
      <c r="E585" s="740"/>
      <c r="F585" s="768"/>
      <c r="G585" s="772"/>
      <c r="H585" s="771">
        <f>SUM(H583:H584)</f>
        <v>4.29</v>
      </c>
      <c r="I585" s="400"/>
      <c r="J585" s="404"/>
    </row>
    <row r="586" spans="1:10" s="579" customFormat="1">
      <c r="A586" s="601"/>
      <c r="B586" s="780"/>
      <c r="C586" s="780"/>
      <c r="D586" s="780"/>
      <c r="E586" s="740"/>
      <c r="F586" s="768"/>
      <c r="G586" s="772"/>
      <c r="H586" s="771"/>
      <c r="I586" s="400"/>
      <c r="J586" s="404"/>
    </row>
    <row r="587" spans="1:10" s="581" customFormat="1" ht="27" customHeight="1">
      <c r="A587" s="602" t="s">
        <v>2337</v>
      </c>
      <c r="B587" s="961" t="s">
        <v>622</v>
      </c>
      <c r="C587" s="961"/>
      <c r="D587" s="961"/>
      <c r="E587" s="961"/>
      <c r="F587" s="961"/>
      <c r="G587" s="418"/>
      <c r="H587" s="428" t="s">
        <v>16</v>
      </c>
      <c r="I587" s="603"/>
      <c r="J587" s="604"/>
    </row>
    <row r="588" spans="1:10" s="579" customFormat="1">
      <c r="A588" s="601"/>
      <c r="B588" s="595" t="s">
        <v>597</v>
      </c>
      <c r="C588" s="596" t="s">
        <v>16</v>
      </c>
      <c r="D588" s="401">
        <v>3.5000000000000003E-2</v>
      </c>
      <c r="E588" s="959">
        <f>Insumos!C162</f>
        <v>31.85</v>
      </c>
      <c r="F588" s="959"/>
      <c r="G588" s="963">
        <f>ROUND(D588*E588,2)</f>
        <v>1.1100000000000001</v>
      </c>
      <c r="H588" s="963"/>
      <c r="I588" s="400"/>
      <c r="J588" s="404"/>
    </row>
    <row r="589" spans="1:10" s="579" customFormat="1">
      <c r="A589" s="601"/>
      <c r="B589" s="595" t="s">
        <v>623</v>
      </c>
      <c r="C589" s="596" t="s">
        <v>16</v>
      </c>
      <c r="D589" s="401">
        <v>1.0945</v>
      </c>
      <c r="E589" s="959">
        <f>Insumos!C163</f>
        <v>6.4064000000000005</v>
      </c>
      <c r="F589" s="959"/>
      <c r="G589" s="963">
        <f>ROUND(D589*E589,2)</f>
        <v>7.01</v>
      </c>
      <c r="H589" s="963"/>
      <c r="I589" s="400"/>
      <c r="J589" s="404"/>
    </row>
    <row r="590" spans="1:10" s="579" customFormat="1">
      <c r="A590" s="601"/>
      <c r="B590" s="595" t="s">
        <v>615</v>
      </c>
      <c r="C590" s="596" t="s">
        <v>112</v>
      </c>
      <c r="D590" s="401">
        <v>7.0000000000000007E-2</v>
      </c>
      <c r="E590" s="959">
        <f>Insumos!C164</f>
        <v>8.6722999999999999</v>
      </c>
      <c r="F590" s="959"/>
      <c r="G590" s="963">
        <f>ROUND(D590*E590,2)</f>
        <v>0.61</v>
      </c>
      <c r="H590" s="963"/>
      <c r="I590" s="400"/>
      <c r="J590" s="404"/>
    </row>
    <row r="591" spans="1:10" s="579" customFormat="1">
      <c r="A591" s="601"/>
      <c r="B591" s="595" t="s">
        <v>535</v>
      </c>
      <c r="C591" s="596" t="s">
        <v>112</v>
      </c>
      <c r="D591" s="401">
        <v>7.0000000000000007E-2</v>
      </c>
      <c r="E591" s="959">
        <f>Insumos!C165</f>
        <v>108.6904</v>
      </c>
      <c r="F591" s="959"/>
      <c r="G591" s="963">
        <f>ROUND(D591*E591,2)</f>
        <v>7.61</v>
      </c>
      <c r="H591" s="963"/>
      <c r="I591" s="400"/>
      <c r="J591" s="404"/>
    </row>
    <row r="592" spans="1:10" s="579" customFormat="1">
      <c r="A592" s="601"/>
      <c r="B592" s="955" t="s">
        <v>536</v>
      </c>
      <c r="C592" s="955"/>
      <c r="D592" s="955"/>
      <c r="E592" s="737"/>
      <c r="F592" s="605"/>
      <c r="G592" s="422"/>
      <c r="H592" s="598">
        <f>SUM(G588:H589)</f>
        <v>8.1199999999999992</v>
      </c>
      <c r="I592" s="400"/>
      <c r="J592" s="404"/>
    </row>
    <row r="593" spans="1:10" s="579" customFormat="1">
      <c r="A593" s="601"/>
      <c r="B593" s="955" t="s">
        <v>537</v>
      </c>
      <c r="C593" s="955"/>
      <c r="D593" s="955"/>
      <c r="E593" s="737"/>
      <c r="F593" s="605"/>
      <c r="G593" s="422"/>
      <c r="H593" s="598">
        <f>SUM(G590:H591)</f>
        <v>8.2200000000000006</v>
      </c>
      <c r="I593" s="400"/>
      <c r="J593" s="404"/>
    </row>
    <row r="594" spans="1:10" s="579" customFormat="1">
      <c r="A594" s="601"/>
      <c r="B594" s="955" t="s">
        <v>1937</v>
      </c>
      <c r="C594" s="955"/>
      <c r="D594" s="955"/>
      <c r="E594" s="737"/>
      <c r="F594" s="439"/>
      <c r="G594" s="422"/>
      <c r="H594" s="598">
        <f>SUM(H592:H593)</f>
        <v>16.34</v>
      </c>
      <c r="I594" s="400"/>
      <c r="J594" s="404"/>
    </row>
    <row r="595" spans="1:10" s="579" customFormat="1">
      <c r="A595" s="601"/>
      <c r="B595" s="955" t="s">
        <v>538</v>
      </c>
      <c r="C595" s="955"/>
      <c r="D595" s="955"/>
      <c r="E595" s="737"/>
      <c r="F595" s="607" t="s">
        <v>539</v>
      </c>
      <c r="G595" s="422"/>
      <c r="H595" s="598">
        <f>ROUND(H594*F595,2)</f>
        <v>4.08</v>
      </c>
      <c r="I595" s="400"/>
      <c r="J595" s="404"/>
    </row>
    <row r="596" spans="1:10" s="579" customFormat="1">
      <c r="A596" s="601"/>
      <c r="B596" s="956" t="s">
        <v>540</v>
      </c>
      <c r="C596" s="956"/>
      <c r="D596" s="956"/>
      <c r="E596" s="740"/>
      <c r="F596" s="768"/>
      <c r="G596" s="772"/>
      <c r="H596" s="771">
        <f>SUM(H594:H595)</f>
        <v>20.420000000000002</v>
      </c>
      <c r="I596" s="400"/>
      <c r="J596" s="404"/>
    </row>
    <row r="597" spans="1:10" s="579" customFormat="1">
      <c r="A597" s="601"/>
      <c r="B597" s="780"/>
      <c r="C597" s="780"/>
      <c r="D597" s="780"/>
      <c r="E597" s="740"/>
      <c r="F597" s="768"/>
      <c r="G597" s="772"/>
      <c r="H597" s="771"/>
      <c r="I597" s="400"/>
      <c r="J597" s="404"/>
    </row>
    <row r="598" spans="1:10" s="581" customFormat="1" ht="26.45" customHeight="1">
      <c r="A598" s="602" t="s">
        <v>2338</v>
      </c>
      <c r="B598" s="961" t="s">
        <v>499</v>
      </c>
      <c r="C598" s="961"/>
      <c r="D598" s="961"/>
      <c r="E598" s="961"/>
      <c r="F598" s="961"/>
      <c r="G598" s="418"/>
      <c r="H598" s="428" t="s">
        <v>97</v>
      </c>
      <c r="I598" s="603"/>
      <c r="J598" s="604"/>
    </row>
    <row r="599" spans="1:10" s="579" customFormat="1">
      <c r="A599" s="601"/>
      <c r="B599" s="595" t="s">
        <v>618</v>
      </c>
      <c r="C599" s="596" t="s">
        <v>97</v>
      </c>
      <c r="D599" s="542">
        <v>0.8669</v>
      </c>
      <c r="E599" s="964">
        <f>Insumos!C146</f>
        <v>31.85</v>
      </c>
      <c r="F599" s="964"/>
      <c r="G599" s="963">
        <f t="shared" ref="G599:G605" si="24">ROUND(D599*E599,2)</f>
        <v>27.61</v>
      </c>
      <c r="H599" s="963"/>
      <c r="I599" s="400"/>
      <c r="J599" s="404"/>
    </row>
    <row r="600" spans="1:10" s="579" customFormat="1">
      <c r="A600" s="601"/>
      <c r="B600" s="595" t="s">
        <v>549</v>
      </c>
      <c r="C600" s="596" t="s">
        <v>16</v>
      </c>
      <c r="D600" s="542">
        <v>349</v>
      </c>
      <c r="E600" s="964">
        <f>Insumos!C147</f>
        <v>0.50050000000000006</v>
      </c>
      <c r="F600" s="964"/>
      <c r="G600" s="963">
        <f t="shared" si="24"/>
        <v>174.67</v>
      </c>
      <c r="H600" s="963"/>
      <c r="I600" s="400"/>
      <c r="J600" s="404"/>
    </row>
    <row r="601" spans="1:10" s="579" customFormat="1">
      <c r="A601" s="601"/>
      <c r="B601" s="595" t="s">
        <v>624</v>
      </c>
      <c r="C601" s="596" t="s">
        <v>97</v>
      </c>
      <c r="D601" s="542">
        <v>0.20899999999999999</v>
      </c>
      <c r="E601" s="964">
        <f>Insumos!C148</f>
        <v>86.45</v>
      </c>
      <c r="F601" s="964"/>
      <c r="G601" s="963">
        <f t="shared" si="24"/>
        <v>18.07</v>
      </c>
      <c r="H601" s="963"/>
      <c r="I601" s="400"/>
      <c r="J601" s="404"/>
    </row>
    <row r="602" spans="1:10" s="579" customFormat="1">
      <c r="A602" s="601"/>
      <c r="B602" s="595" t="s">
        <v>558</v>
      </c>
      <c r="C602" s="596" t="s">
        <v>97</v>
      </c>
      <c r="D602" s="542">
        <v>0.62235774647887299</v>
      </c>
      <c r="E602" s="964">
        <f>Insumos!C149</f>
        <v>81.900000000000006</v>
      </c>
      <c r="F602" s="964"/>
      <c r="G602" s="963">
        <f t="shared" si="24"/>
        <v>50.97</v>
      </c>
      <c r="H602" s="963"/>
      <c r="I602" s="400"/>
      <c r="J602" s="404"/>
    </row>
    <row r="603" spans="1:10" s="579" customFormat="1">
      <c r="A603" s="601"/>
      <c r="B603" s="595" t="s">
        <v>606</v>
      </c>
      <c r="C603" s="596" t="s">
        <v>112</v>
      </c>
      <c r="D603" s="542">
        <v>1.8514363636363758</v>
      </c>
      <c r="E603" s="964">
        <f>Insumos!C150</f>
        <v>6.8250000000000002</v>
      </c>
      <c r="F603" s="964"/>
      <c r="G603" s="963">
        <f t="shared" si="24"/>
        <v>12.64</v>
      </c>
      <c r="H603" s="963"/>
      <c r="I603" s="400"/>
      <c r="J603" s="404"/>
    </row>
    <row r="604" spans="1:10" s="579" customFormat="1">
      <c r="A604" s="601"/>
      <c r="B604" s="595" t="s">
        <v>535</v>
      </c>
      <c r="C604" s="596" t="s">
        <v>112</v>
      </c>
      <c r="D604" s="542">
        <v>3.13</v>
      </c>
      <c r="E604" s="959">
        <f>Insumos!C151</f>
        <v>6.4064000000000005</v>
      </c>
      <c r="F604" s="959"/>
      <c r="G604" s="963">
        <f t="shared" si="24"/>
        <v>20.05</v>
      </c>
      <c r="H604" s="963"/>
      <c r="I604" s="400"/>
      <c r="J604" s="404"/>
    </row>
    <row r="605" spans="1:10" s="579" customFormat="1">
      <c r="A605" s="601"/>
      <c r="B605" s="595" t="s">
        <v>625</v>
      </c>
      <c r="C605" s="596" t="s">
        <v>112</v>
      </c>
      <c r="D605" s="542">
        <v>1.82</v>
      </c>
      <c r="E605" s="959">
        <f>Insumos!C152</f>
        <v>13.3497</v>
      </c>
      <c r="F605" s="959"/>
      <c r="G605" s="963">
        <f t="shared" si="24"/>
        <v>24.3</v>
      </c>
      <c r="H605" s="963"/>
      <c r="I605" s="400"/>
      <c r="J605" s="404"/>
    </row>
    <row r="606" spans="1:10" s="579" customFormat="1">
      <c r="A606" s="601"/>
      <c r="B606" s="955" t="s">
        <v>536</v>
      </c>
      <c r="C606" s="955"/>
      <c r="D606" s="955"/>
      <c r="E606" s="737"/>
      <c r="F606" s="605"/>
      <c r="G606" s="422"/>
      <c r="H606" s="598">
        <f>SUM(G599:H603)</f>
        <v>283.95999999999992</v>
      </c>
      <c r="I606" s="400"/>
      <c r="J606" s="404"/>
    </row>
    <row r="607" spans="1:10">
      <c r="A607" s="398"/>
      <c r="B607" s="955" t="s">
        <v>537</v>
      </c>
      <c r="C607" s="955"/>
      <c r="D607" s="955"/>
      <c r="E607" s="389"/>
      <c r="F607" s="409"/>
      <c r="G607" s="422"/>
      <c r="H607" s="328">
        <f>SUM(G604:H605)</f>
        <v>44.35</v>
      </c>
    </row>
    <row r="608" spans="1:10">
      <c r="A608" s="398"/>
      <c r="B608" s="955" t="s">
        <v>1937</v>
      </c>
      <c r="C608" s="955"/>
      <c r="D608" s="955"/>
      <c r="E608" s="389"/>
      <c r="F608" s="409"/>
      <c r="G608" s="422"/>
      <c r="H608" s="328">
        <f>SUM(H606:H607)</f>
        <v>328.30999999999995</v>
      </c>
    </row>
    <row r="609" spans="1:10">
      <c r="A609" s="398"/>
      <c r="B609" s="955" t="s">
        <v>538</v>
      </c>
      <c r="C609" s="955"/>
      <c r="D609" s="955"/>
      <c r="E609" s="389"/>
      <c r="F609" s="411" t="s">
        <v>539</v>
      </c>
      <c r="G609" s="422"/>
      <c r="H609" s="328">
        <f>ROUND(H608*F609,2)</f>
        <v>81.95</v>
      </c>
    </row>
    <row r="610" spans="1:10">
      <c r="A610" s="398"/>
      <c r="B610" s="956" t="s">
        <v>540</v>
      </c>
      <c r="C610" s="956"/>
      <c r="D610" s="956"/>
      <c r="E610" s="740"/>
      <c r="F610" s="768"/>
      <c r="G610" s="772"/>
      <c r="H610" s="771">
        <f>SUM(H608:H609)</f>
        <v>410.25999999999993</v>
      </c>
    </row>
    <row r="611" spans="1:10" s="579" customFormat="1">
      <c r="A611" s="601"/>
      <c r="B611" s="780"/>
      <c r="C611" s="780"/>
      <c r="D611" s="780"/>
      <c r="E611" s="740"/>
      <c r="F611" s="768"/>
      <c r="G611" s="772"/>
      <c r="H611" s="771"/>
      <c r="I611" s="400"/>
      <c r="J611" s="404"/>
    </row>
    <row r="612" spans="1:10" s="406" customFormat="1" ht="15">
      <c r="A612" s="403" t="s">
        <v>2339</v>
      </c>
      <c r="B612" s="961" t="s">
        <v>522</v>
      </c>
      <c r="C612" s="961"/>
      <c r="D612" s="961"/>
      <c r="E612" s="961"/>
      <c r="F612" s="961"/>
      <c r="G612" s="418"/>
      <c r="H612" s="428" t="s">
        <v>97</v>
      </c>
      <c r="I612" s="407"/>
      <c r="J612" s="408"/>
    </row>
    <row r="613" spans="1:10" ht="33.6" customHeight="1">
      <c r="A613" s="398"/>
      <c r="B613" s="230" t="s">
        <v>619</v>
      </c>
      <c r="C613" s="231" t="s">
        <v>112</v>
      </c>
      <c r="D613" s="436">
        <v>0.30900000000000855</v>
      </c>
      <c r="E613" s="959">
        <f>Insumos!C153</f>
        <v>1.7381</v>
      </c>
      <c r="F613" s="959"/>
      <c r="G613" s="963">
        <f>ROUND(D613*E613,2)</f>
        <v>0.54</v>
      </c>
      <c r="H613" s="963"/>
    </row>
    <row r="614" spans="1:10">
      <c r="A614" s="398"/>
      <c r="B614" s="230" t="s">
        <v>576</v>
      </c>
      <c r="C614" s="231" t="s">
        <v>112</v>
      </c>
      <c r="D614" s="436">
        <v>5.0010345445495243</v>
      </c>
      <c r="E614" s="959">
        <f>Insumos!C154</f>
        <v>8.6722999999999999</v>
      </c>
      <c r="F614" s="959"/>
      <c r="G614" s="963">
        <f>ROUND(D614*E614,2)</f>
        <v>43.37</v>
      </c>
      <c r="H614" s="963"/>
    </row>
    <row r="615" spans="1:10">
      <c r="A615" s="398"/>
      <c r="B615" s="230" t="s">
        <v>535</v>
      </c>
      <c r="C615" s="231" t="s">
        <v>112</v>
      </c>
      <c r="D615" s="436">
        <v>8</v>
      </c>
      <c r="E615" s="959">
        <f>Insumos!C155</f>
        <v>6.4064000000000005</v>
      </c>
      <c r="F615" s="959"/>
      <c r="G615" s="963">
        <f>ROUND(D615*E615,2)</f>
        <v>51.25</v>
      </c>
      <c r="H615" s="963"/>
    </row>
    <row r="616" spans="1:10">
      <c r="A616" s="398"/>
      <c r="B616" s="955" t="s">
        <v>536</v>
      </c>
      <c r="C616" s="955"/>
      <c r="D616" s="955"/>
      <c r="E616" s="389"/>
      <c r="F616" s="409"/>
      <c r="G616" s="422"/>
      <c r="H616" s="328">
        <f>SUM(G613)</f>
        <v>0.54</v>
      </c>
    </row>
    <row r="617" spans="1:10">
      <c r="A617" s="398"/>
      <c r="B617" s="955" t="s">
        <v>537</v>
      </c>
      <c r="C617" s="955"/>
      <c r="D617" s="955"/>
      <c r="E617" s="389"/>
      <c r="F617" s="409"/>
      <c r="G617" s="422"/>
      <c r="H617" s="328">
        <f>SUM(G614:H615)</f>
        <v>94.62</v>
      </c>
    </row>
    <row r="618" spans="1:10">
      <c r="A618" s="398"/>
      <c r="B618" s="955" t="s">
        <v>1937</v>
      </c>
      <c r="C618" s="955"/>
      <c r="D618" s="955"/>
      <c r="E618" s="389"/>
      <c r="F618" s="409"/>
      <c r="G618" s="422"/>
      <c r="H618" s="328">
        <f>SUM(H616:H617)</f>
        <v>95.160000000000011</v>
      </c>
    </row>
    <row r="619" spans="1:10">
      <c r="A619" s="398"/>
      <c r="B619" s="955" t="s">
        <v>538</v>
      </c>
      <c r="C619" s="955"/>
      <c r="D619" s="955"/>
      <c r="E619" s="389"/>
      <c r="F619" s="411" t="s">
        <v>539</v>
      </c>
      <c r="G619" s="422"/>
      <c r="H619" s="328">
        <f>ROUND(H618*F619,2)</f>
        <v>23.75</v>
      </c>
    </row>
    <row r="620" spans="1:10">
      <c r="A620" s="398"/>
      <c r="B620" s="956" t="s">
        <v>540</v>
      </c>
      <c r="C620" s="956"/>
      <c r="D620" s="956"/>
      <c r="E620" s="740"/>
      <c r="F620" s="768"/>
      <c r="G620" s="772"/>
      <c r="H620" s="771">
        <f>SUM(H618:H619)</f>
        <v>118.91000000000001</v>
      </c>
    </row>
    <row r="621" spans="1:10" s="579" customFormat="1">
      <c r="A621" s="601"/>
      <c r="B621" s="780"/>
      <c r="C621" s="780"/>
      <c r="D621" s="780"/>
      <c r="E621" s="740"/>
      <c r="F621" s="768"/>
      <c r="G621" s="772"/>
      <c r="H621" s="771"/>
      <c r="I621" s="400"/>
      <c r="J621" s="404"/>
    </row>
    <row r="622" spans="1:10" s="167" customFormat="1">
      <c r="A622" s="756">
        <v>9</v>
      </c>
      <c r="B622" s="975" t="s">
        <v>661</v>
      </c>
      <c r="C622" s="975"/>
      <c r="D622" s="975"/>
      <c r="E622" s="975"/>
      <c r="F622" s="975"/>
      <c r="G622" s="766"/>
      <c r="H622" s="767"/>
      <c r="I622" s="326"/>
      <c r="J622" s="344"/>
    </row>
    <row r="623" spans="1:10" s="406" customFormat="1" ht="15">
      <c r="A623" s="403" t="s">
        <v>2340</v>
      </c>
      <c r="B623" s="961" t="s">
        <v>1569</v>
      </c>
      <c r="C623" s="961"/>
      <c r="D623" s="961"/>
      <c r="E623" s="961"/>
      <c r="F623" s="961"/>
      <c r="H623" s="403" t="s">
        <v>16</v>
      </c>
      <c r="I623" s="407"/>
      <c r="J623" s="408"/>
    </row>
    <row r="624" spans="1:10">
      <c r="A624" s="398"/>
      <c r="B624" s="230" t="s">
        <v>629</v>
      </c>
      <c r="C624" s="231" t="s">
        <v>16</v>
      </c>
      <c r="D624" s="401">
        <v>1.0473750000000002</v>
      </c>
      <c r="E624" s="964">
        <f>Insumos!C217</f>
        <v>5.46</v>
      </c>
      <c r="F624" s="964"/>
      <c r="G624" s="958">
        <f>ROUND(D624*E624,2)</f>
        <v>5.72</v>
      </c>
      <c r="H624" s="958"/>
    </row>
    <row r="625" spans="1:10">
      <c r="A625" s="398"/>
      <c r="B625" s="230" t="s">
        <v>630</v>
      </c>
      <c r="C625" s="231" t="s">
        <v>15</v>
      </c>
      <c r="D625" s="401">
        <v>6.1000000000000004E-3</v>
      </c>
      <c r="E625" s="964">
        <f>Insumos!C218</f>
        <v>71.562399999999997</v>
      </c>
      <c r="F625" s="964"/>
      <c r="G625" s="958">
        <f>ROUND(D625*E625,2)</f>
        <v>0.44</v>
      </c>
      <c r="H625" s="958"/>
    </row>
    <row r="626" spans="1:10">
      <c r="A626" s="398"/>
      <c r="B626" s="230" t="s">
        <v>509</v>
      </c>
      <c r="C626" s="231" t="s">
        <v>112</v>
      </c>
      <c r="D626" s="401">
        <v>0.12</v>
      </c>
      <c r="E626" s="959">
        <f>Insumos!C219</f>
        <v>6.4064000000000005</v>
      </c>
      <c r="F626" s="959"/>
      <c r="G626" s="958">
        <f>ROUND(D626*E626,2)</f>
        <v>0.77</v>
      </c>
      <c r="H626" s="958"/>
    </row>
    <row r="627" spans="1:10">
      <c r="A627" s="398"/>
      <c r="B627" s="230" t="s">
        <v>631</v>
      </c>
      <c r="C627" s="231" t="s">
        <v>112</v>
      </c>
      <c r="D627" s="401">
        <v>0.12</v>
      </c>
      <c r="E627" s="959">
        <f>Insumos!C220</f>
        <v>8.19</v>
      </c>
      <c r="F627" s="959"/>
      <c r="G627" s="958">
        <f>ROUND(D627*E627,2)</f>
        <v>0.98</v>
      </c>
      <c r="H627" s="958"/>
    </row>
    <row r="628" spans="1:10">
      <c r="A628" s="398"/>
      <c r="B628" s="955" t="s">
        <v>536</v>
      </c>
      <c r="C628" s="955"/>
      <c r="D628" s="955"/>
      <c r="E628" s="389"/>
      <c r="F628" s="409"/>
      <c r="G628" s="410"/>
      <c r="H628" s="249">
        <f>SUM(G624:H625)</f>
        <v>6.16</v>
      </c>
    </row>
    <row r="629" spans="1:10">
      <c r="A629" s="398"/>
      <c r="B629" s="955" t="s">
        <v>537</v>
      </c>
      <c r="C629" s="955"/>
      <c r="D629" s="955"/>
      <c r="E629" s="389"/>
      <c r="F629" s="409"/>
      <c r="G629" s="410"/>
      <c r="H629" s="249">
        <f>SUM(G626:H627)</f>
        <v>1.75</v>
      </c>
    </row>
    <row r="630" spans="1:10">
      <c r="A630" s="398"/>
      <c r="B630" s="955" t="s">
        <v>1937</v>
      </c>
      <c r="C630" s="955"/>
      <c r="D630" s="955"/>
      <c r="E630" s="389"/>
      <c r="F630" s="409"/>
      <c r="G630" s="410"/>
      <c r="H630" s="328">
        <f>SUM(H628:H629)</f>
        <v>7.91</v>
      </c>
    </row>
    <row r="631" spans="1:10">
      <c r="A631" s="398"/>
      <c r="B631" s="955" t="s">
        <v>538</v>
      </c>
      <c r="C631" s="955"/>
      <c r="D631" s="955"/>
      <c r="E631" s="389"/>
      <c r="F631" s="411" t="s">
        <v>539</v>
      </c>
      <c r="G631" s="410"/>
      <c r="H631" s="249">
        <f>ROUND(H630*F631,2)</f>
        <v>1.97</v>
      </c>
    </row>
    <row r="632" spans="1:10">
      <c r="A632" s="398"/>
      <c r="B632" s="956" t="s">
        <v>540</v>
      </c>
      <c r="C632" s="956"/>
      <c r="D632" s="956"/>
      <c r="E632" s="740"/>
      <c r="F632" s="768"/>
      <c r="G632" s="769"/>
      <c r="H632" s="770">
        <f>SUM(H630:H631)</f>
        <v>9.8800000000000008</v>
      </c>
    </row>
    <row r="633" spans="1:10" s="579" customFormat="1">
      <c r="A633" s="601"/>
      <c r="B633" s="780"/>
      <c r="C633" s="780"/>
      <c r="D633" s="780"/>
      <c r="E633" s="740"/>
      <c r="F633" s="768"/>
      <c r="G633" s="769"/>
      <c r="H633" s="770"/>
      <c r="I633" s="400"/>
      <c r="J633" s="404"/>
    </row>
    <row r="634" spans="1:10" s="406" customFormat="1" ht="26.45" customHeight="1">
      <c r="A634" s="403" t="s">
        <v>2341</v>
      </c>
      <c r="B634" s="986" t="s">
        <v>2278</v>
      </c>
      <c r="C634" s="986"/>
      <c r="D634" s="986"/>
      <c r="E634" s="986"/>
      <c r="F634" s="986"/>
      <c r="H634" s="403" t="s">
        <v>13</v>
      </c>
      <c r="I634" s="407"/>
      <c r="J634" s="408"/>
    </row>
    <row r="635" spans="1:10">
      <c r="A635" s="398"/>
      <c r="B635" s="230" t="s">
        <v>662</v>
      </c>
      <c r="C635" s="231" t="s">
        <v>16</v>
      </c>
      <c r="D635" s="401">
        <v>4.0000000000000001E-3</v>
      </c>
      <c r="E635" s="959">
        <f>Insumos!C221</f>
        <v>15.015000000000001</v>
      </c>
      <c r="F635" s="959"/>
      <c r="G635" s="958">
        <f>ROUND(D635*E635,2)</f>
        <v>0.06</v>
      </c>
      <c r="H635" s="958"/>
    </row>
    <row r="636" spans="1:10">
      <c r="A636" s="398"/>
      <c r="B636" s="230" t="s">
        <v>663</v>
      </c>
      <c r="C636" s="231" t="s">
        <v>14</v>
      </c>
      <c r="D636" s="401">
        <v>1.3</v>
      </c>
      <c r="E636" s="959">
        <f>Insumos!C222</f>
        <v>0.62790000000000001</v>
      </c>
      <c r="F636" s="959"/>
      <c r="G636" s="958">
        <f>ROUND(D636*E636,2)</f>
        <v>0.82</v>
      </c>
      <c r="H636" s="958"/>
    </row>
    <row r="637" spans="1:10">
      <c r="A637" s="398"/>
      <c r="B637" s="230" t="s">
        <v>2277</v>
      </c>
      <c r="C637" s="231" t="s">
        <v>13</v>
      </c>
      <c r="D637" s="401">
        <v>1.06</v>
      </c>
      <c r="E637" s="959">
        <v>18</v>
      </c>
      <c r="F637" s="959"/>
      <c r="G637" s="958">
        <f>ROUND(D637*E637,2)</f>
        <v>19.079999999999998</v>
      </c>
      <c r="H637" s="958"/>
    </row>
    <row r="638" spans="1:10">
      <c r="A638" s="398"/>
      <c r="B638" s="230" t="s">
        <v>666</v>
      </c>
      <c r="C638" s="231" t="s">
        <v>112</v>
      </c>
      <c r="D638" s="401">
        <v>0.22</v>
      </c>
      <c r="E638" s="959">
        <f>Insumos!C224</f>
        <v>7.489300000000001</v>
      </c>
      <c r="F638" s="959"/>
      <c r="G638" s="958">
        <f>ROUND(D638*E638,2)</f>
        <v>1.65</v>
      </c>
      <c r="H638" s="958"/>
    </row>
    <row r="639" spans="1:10">
      <c r="A639" s="398"/>
      <c r="B639" s="230" t="s">
        <v>510</v>
      </c>
      <c r="C639" s="231" t="s">
        <v>112</v>
      </c>
      <c r="D639" s="401">
        <v>0.22</v>
      </c>
      <c r="E639" s="959">
        <f>Insumos!C225</f>
        <v>6.5065000000000008</v>
      </c>
      <c r="F639" s="959"/>
      <c r="G639" s="958">
        <f>ROUND(D639*E639,2)</f>
        <v>1.43</v>
      </c>
      <c r="H639" s="958"/>
    </row>
    <row r="640" spans="1:10">
      <c r="A640" s="398"/>
      <c r="B640" s="955" t="s">
        <v>536</v>
      </c>
      <c r="C640" s="955"/>
      <c r="D640" s="955"/>
      <c r="E640" s="389"/>
      <c r="F640" s="409"/>
      <c r="G640" s="410"/>
      <c r="H640" s="249">
        <f>SUM(G635:H637)</f>
        <v>19.959999999999997</v>
      </c>
    </row>
    <row r="641" spans="1:10">
      <c r="A641" s="398"/>
      <c r="B641" s="955" t="s">
        <v>537</v>
      </c>
      <c r="C641" s="955"/>
      <c r="D641" s="955"/>
      <c r="E641" s="389"/>
      <c r="F641" s="409"/>
      <c r="G641" s="410"/>
      <c r="H641" s="249">
        <f>SUM(G638:H639)</f>
        <v>3.08</v>
      </c>
    </row>
    <row r="642" spans="1:10">
      <c r="A642" s="398"/>
      <c r="B642" s="955" t="s">
        <v>1937</v>
      </c>
      <c r="C642" s="955"/>
      <c r="D642" s="955"/>
      <c r="E642" s="389"/>
      <c r="F642" s="409"/>
      <c r="G642" s="410"/>
      <c r="H642" s="249">
        <f>SUM(H640:H641)</f>
        <v>23.04</v>
      </c>
    </row>
    <row r="643" spans="1:10">
      <c r="A643" s="398"/>
      <c r="B643" s="955" t="s">
        <v>538</v>
      </c>
      <c r="C643" s="955"/>
      <c r="D643" s="955"/>
      <c r="E643" s="389"/>
      <c r="F643" s="411" t="s">
        <v>539</v>
      </c>
      <c r="G643" s="410"/>
      <c r="H643" s="249">
        <f>ROUND(H642*F643,2)</f>
        <v>5.75</v>
      </c>
    </row>
    <row r="644" spans="1:10">
      <c r="A644" s="398"/>
      <c r="B644" s="956" t="s">
        <v>540</v>
      </c>
      <c r="C644" s="956"/>
      <c r="D644" s="956"/>
      <c r="E644" s="740"/>
      <c r="F644" s="768"/>
      <c r="G644" s="769"/>
      <c r="H644" s="770">
        <f>SUM(H642:H643)</f>
        <v>28.79</v>
      </c>
    </row>
    <row r="645" spans="1:10" s="579" customFormat="1">
      <c r="A645" s="601"/>
      <c r="B645" s="780"/>
      <c r="C645" s="780"/>
      <c r="D645" s="780"/>
      <c r="E645" s="740"/>
      <c r="F645" s="768"/>
      <c r="G645" s="769"/>
      <c r="H645" s="770"/>
      <c r="I645" s="400"/>
      <c r="J645" s="404"/>
    </row>
    <row r="646" spans="1:10" s="406" customFormat="1" ht="15">
      <c r="A646" s="403" t="s">
        <v>2342</v>
      </c>
      <c r="B646" s="961" t="s">
        <v>667</v>
      </c>
      <c r="C646" s="961"/>
      <c r="D646" s="961"/>
      <c r="E646" s="961"/>
      <c r="F646" s="961"/>
      <c r="H646" s="403" t="s">
        <v>15</v>
      </c>
      <c r="I646" s="407"/>
      <c r="J646" s="408"/>
    </row>
    <row r="647" spans="1:10">
      <c r="A647" s="398"/>
      <c r="B647" s="230" t="s">
        <v>668</v>
      </c>
      <c r="C647" s="231" t="s">
        <v>15</v>
      </c>
      <c r="D647" s="436">
        <v>1</v>
      </c>
      <c r="E647" s="964">
        <f>Insumos!C226</f>
        <v>12.7491</v>
      </c>
      <c r="F647" s="964"/>
      <c r="G647" s="958">
        <f>ROUND(D647*E647,2)</f>
        <v>12.75</v>
      </c>
      <c r="H647" s="958"/>
    </row>
    <row r="648" spans="1:10">
      <c r="A648" s="398"/>
      <c r="B648" s="230" t="s">
        <v>598</v>
      </c>
      <c r="C648" s="231" t="s">
        <v>16</v>
      </c>
      <c r="D648" s="436">
        <v>0.13600000000000001</v>
      </c>
      <c r="E648" s="964">
        <f>Insumos!C227</f>
        <v>6.5156000000000001</v>
      </c>
      <c r="F648" s="964"/>
      <c r="G648" s="958">
        <f>ROUND(D648*E648,2)</f>
        <v>0.89</v>
      </c>
      <c r="H648" s="958"/>
    </row>
    <row r="649" spans="1:10">
      <c r="A649" s="398"/>
      <c r="B649" s="230" t="s">
        <v>576</v>
      </c>
      <c r="C649" s="231" t="s">
        <v>112</v>
      </c>
      <c r="D649" s="436">
        <v>0.28000000000000003</v>
      </c>
      <c r="E649" s="959">
        <f>Insumos!C228</f>
        <v>8.6722999999999999</v>
      </c>
      <c r="F649" s="959"/>
      <c r="G649" s="958">
        <f>ROUND(D649*E649,2)</f>
        <v>2.4300000000000002</v>
      </c>
      <c r="H649" s="958"/>
    </row>
    <row r="650" spans="1:10">
      <c r="A650" s="398"/>
      <c r="B650" s="230" t="s">
        <v>509</v>
      </c>
      <c r="C650" s="231" t="s">
        <v>112</v>
      </c>
      <c r="D650" s="436">
        <v>0.28000000000000003</v>
      </c>
      <c r="E650" s="959">
        <f>Insumos!C229</f>
        <v>6.4064000000000005</v>
      </c>
      <c r="F650" s="959"/>
      <c r="G650" s="958">
        <f>ROUND(D650*E650,2)</f>
        <v>1.79</v>
      </c>
      <c r="H650" s="958"/>
    </row>
    <row r="651" spans="1:10">
      <c r="A651" s="398"/>
      <c r="B651" s="955" t="s">
        <v>536</v>
      </c>
      <c r="C651" s="955"/>
      <c r="D651" s="955"/>
      <c r="E651" s="389"/>
      <c r="F651" s="409"/>
      <c r="G651" s="410"/>
      <c r="H651" s="249">
        <f>SUM(G647:H648)</f>
        <v>13.64</v>
      </c>
    </row>
    <row r="652" spans="1:10">
      <c r="A652" s="398"/>
      <c r="B652" s="955" t="s">
        <v>537</v>
      </c>
      <c r="C652" s="955"/>
      <c r="D652" s="955"/>
      <c r="E652" s="389"/>
      <c r="F652" s="409"/>
      <c r="G652" s="410"/>
      <c r="H652" s="249">
        <f>SUM(G649:H650)</f>
        <v>4.2200000000000006</v>
      </c>
    </row>
    <row r="653" spans="1:10">
      <c r="A653" s="398"/>
      <c r="B653" s="955" t="s">
        <v>1937</v>
      </c>
      <c r="C653" s="955"/>
      <c r="D653" s="955"/>
      <c r="E653" s="389"/>
      <c r="F653" s="409"/>
      <c r="G653" s="410"/>
      <c r="H653" s="249">
        <f>SUM(H651:H652)</f>
        <v>17.86</v>
      </c>
    </row>
    <row r="654" spans="1:10">
      <c r="A654" s="398"/>
      <c r="B654" s="955" t="s">
        <v>538</v>
      </c>
      <c r="C654" s="955"/>
      <c r="D654" s="955"/>
      <c r="E654" s="389"/>
      <c r="F654" s="411" t="s">
        <v>539</v>
      </c>
      <c r="G654" s="410"/>
      <c r="H654" s="249">
        <f>ROUND(H653*F654,2)</f>
        <v>4.46</v>
      </c>
    </row>
    <row r="655" spans="1:10">
      <c r="A655" s="398"/>
      <c r="B655" s="956" t="s">
        <v>540</v>
      </c>
      <c r="C655" s="956"/>
      <c r="D655" s="956"/>
      <c r="E655" s="740"/>
      <c r="F655" s="768"/>
      <c r="G655" s="769"/>
      <c r="H655" s="770">
        <f>SUM(H653:H654)</f>
        <v>22.32</v>
      </c>
    </row>
    <row r="656" spans="1:10" s="579" customFormat="1">
      <c r="A656" s="601"/>
      <c r="B656" s="780"/>
      <c r="C656" s="780"/>
      <c r="D656" s="780"/>
      <c r="E656" s="740"/>
      <c r="F656" s="768"/>
      <c r="G656" s="769"/>
      <c r="H656" s="770"/>
      <c r="I656" s="400"/>
      <c r="J656" s="404"/>
    </row>
    <row r="657" spans="1:10" s="406" customFormat="1" ht="15">
      <c r="A657" s="403" t="s">
        <v>1218</v>
      </c>
      <c r="B657" s="961" t="s">
        <v>669</v>
      </c>
      <c r="C657" s="961"/>
      <c r="D657" s="961"/>
      <c r="E657" s="961"/>
      <c r="F657" s="961"/>
      <c r="H657" s="403" t="s">
        <v>15</v>
      </c>
      <c r="I657" s="407"/>
      <c r="J657" s="408"/>
    </row>
    <row r="658" spans="1:10">
      <c r="A658" s="398"/>
      <c r="B658" s="230" t="s">
        <v>598</v>
      </c>
      <c r="C658" s="231" t="s">
        <v>16</v>
      </c>
      <c r="D658" s="401">
        <v>0.16</v>
      </c>
      <c r="E658" s="959">
        <f>Insumos!C230</f>
        <v>6.5156000000000001</v>
      </c>
      <c r="F658" s="959"/>
      <c r="G658" s="958">
        <f t="shared" ref="G658:G663" si="25">ROUND(D658*E658,2)</f>
        <v>1.04</v>
      </c>
      <c r="H658" s="958"/>
    </row>
    <row r="659" spans="1:10">
      <c r="A659" s="398"/>
      <c r="B659" s="230" t="s">
        <v>670</v>
      </c>
      <c r="C659" s="231" t="s">
        <v>16</v>
      </c>
      <c r="D659" s="401">
        <v>3.9600000000000003E-2</v>
      </c>
      <c r="E659" s="959">
        <f>Insumos!C231</f>
        <v>34.543600000000005</v>
      </c>
      <c r="F659" s="959"/>
      <c r="G659" s="958">
        <f t="shared" si="25"/>
        <v>1.37</v>
      </c>
      <c r="H659" s="958"/>
    </row>
    <row r="660" spans="1:10">
      <c r="A660" s="398"/>
      <c r="B660" s="230" t="s">
        <v>671</v>
      </c>
      <c r="C660" s="231" t="s">
        <v>16</v>
      </c>
      <c r="D660" s="401">
        <v>7.5600000000000001E-2</v>
      </c>
      <c r="E660" s="959">
        <f>Insumos!C232</f>
        <v>40.831699999999998</v>
      </c>
      <c r="F660" s="959"/>
      <c r="G660" s="958">
        <f t="shared" si="25"/>
        <v>3.09</v>
      </c>
      <c r="H660" s="958"/>
    </row>
    <row r="661" spans="1:10">
      <c r="A661" s="398"/>
      <c r="B661" s="230" t="s">
        <v>672</v>
      </c>
      <c r="C661" s="231" t="s">
        <v>15</v>
      </c>
      <c r="D661" s="401">
        <v>1</v>
      </c>
      <c r="E661" s="959">
        <f>Insumos!C233</f>
        <v>18.964400000000001</v>
      </c>
      <c r="F661" s="959"/>
      <c r="G661" s="958">
        <f t="shared" si="25"/>
        <v>18.96</v>
      </c>
      <c r="H661" s="958"/>
    </row>
    <row r="662" spans="1:10">
      <c r="A662" s="398"/>
      <c r="B662" s="230" t="s">
        <v>535</v>
      </c>
      <c r="C662" s="231" t="s">
        <v>112</v>
      </c>
      <c r="D662" s="401">
        <v>0.6</v>
      </c>
      <c r="E662" s="959">
        <f>Insumos!C234</f>
        <v>6.4064000000000005</v>
      </c>
      <c r="F662" s="959"/>
      <c r="G662" s="958">
        <f t="shared" si="25"/>
        <v>3.84</v>
      </c>
      <c r="H662" s="958"/>
    </row>
    <row r="663" spans="1:10">
      <c r="A663" s="398"/>
      <c r="B663" s="230" t="s">
        <v>576</v>
      </c>
      <c r="C663" s="231" t="s">
        <v>112</v>
      </c>
      <c r="D663" s="401">
        <v>0.6</v>
      </c>
      <c r="E663" s="959">
        <f>Insumos!C235</f>
        <v>8.6722999999999999</v>
      </c>
      <c r="F663" s="959"/>
      <c r="G663" s="958">
        <f t="shared" si="25"/>
        <v>5.2</v>
      </c>
      <c r="H663" s="958"/>
    </row>
    <row r="664" spans="1:10">
      <c r="A664" s="398"/>
      <c r="B664" s="955" t="s">
        <v>536</v>
      </c>
      <c r="C664" s="955"/>
      <c r="D664" s="955"/>
      <c r="E664" s="389"/>
      <c r="F664" s="409"/>
      <c r="G664" s="410"/>
      <c r="H664" s="249">
        <f>SUM(G658:H661)</f>
        <v>24.46</v>
      </c>
    </row>
    <row r="665" spans="1:10">
      <c r="A665" s="398"/>
      <c r="B665" s="955" t="s">
        <v>537</v>
      </c>
      <c r="C665" s="955"/>
      <c r="D665" s="955"/>
      <c r="E665" s="389"/>
      <c r="F665" s="409"/>
      <c r="G665" s="410"/>
      <c r="H665" s="249">
        <f>SUM(G662:H663)</f>
        <v>9.0399999999999991</v>
      </c>
    </row>
    <row r="666" spans="1:10">
      <c r="A666" s="398"/>
      <c r="B666" s="955" t="s">
        <v>1937</v>
      </c>
      <c r="C666" s="955"/>
      <c r="D666" s="955"/>
      <c r="E666" s="389"/>
      <c r="F666" s="409"/>
      <c r="G666" s="410"/>
      <c r="H666" s="249">
        <f>SUM(H664:H665)</f>
        <v>33.5</v>
      </c>
    </row>
    <row r="667" spans="1:10">
      <c r="A667" s="398"/>
      <c r="B667" s="955" t="s">
        <v>538</v>
      </c>
      <c r="C667" s="955"/>
      <c r="D667" s="955"/>
      <c r="E667" s="389"/>
      <c r="F667" s="411" t="s">
        <v>539</v>
      </c>
      <c r="G667" s="410"/>
      <c r="H667" s="249">
        <f>ROUND(H666*F667,2)</f>
        <v>8.36</v>
      </c>
    </row>
    <row r="668" spans="1:10">
      <c r="A668" s="398"/>
      <c r="B668" s="956" t="s">
        <v>540</v>
      </c>
      <c r="C668" s="956"/>
      <c r="D668" s="956"/>
      <c r="E668" s="740"/>
      <c r="F668" s="768"/>
      <c r="G668" s="769"/>
      <c r="H668" s="770">
        <f>SUM(H666:H667)</f>
        <v>41.86</v>
      </c>
    </row>
    <row r="669" spans="1:10" s="579" customFormat="1">
      <c r="A669" s="601"/>
      <c r="B669" s="780"/>
      <c r="C669" s="780"/>
      <c r="D669" s="780"/>
      <c r="E669" s="740"/>
      <c r="F669" s="768"/>
      <c r="G669" s="769"/>
      <c r="H669" s="770"/>
      <c r="I669" s="400"/>
      <c r="J669" s="404"/>
    </row>
    <row r="670" spans="1:10" s="445" customFormat="1" ht="15">
      <c r="A670" s="444" t="s">
        <v>1257</v>
      </c>
      <c r="B670" s="987" t="s">
        <v>1455</v>
      </c>
      <c r="C670" s="987"/>
      <c r="D670" s="987"/>
      <c r="E670" s="987"/>
      <c r="F670" s="987"/>
      <c r="H670" s="444" t="s">
        <v>13</v>
      </c>
      <c r="I670" s="455"/>
      <c r="J670" s="456"/>
    </row>
    <row r="671" spans="1:10" s="460" customFormat="1">
      <c r="A671" s="447"/>
      <c r="B671" s="449" t="s">
        <v>663</v>
      </c>
      <c r="C671" s="448" t="s">
        <v>14</v>
      </c>
      <c r="D671" s="457">
        <v>1.3</v>
      </c>
      <c r="E671" s="974">
        <f>Insumos!C236</f>
        <v>0.62790000000000001</v>
      </c>
      <c r="F671" s="974"/>
      <c r="G671" s="976">
        <f>ROUND(D671*E671,2)</f>
        <v>0.82</v>
      </c>
      <c r="H671" s="976"/>
      <c r="I671" s="458"/>
      <c r="J671" s="459"/>
    </row>
    <row r="672" spans="1:10" s="460" customFormat="1">
      <c r="A672" s="447"/>
      <c r="B672" s="449" t="s">
        <v>1456</v>
      </c>
      <c r="C672" s="448" t="s">
        <v>13</v>
      </c>
      <c r="D672" s="457">
        <v>1.06</v>
      </c>
      <c r="E672" s="974">
        <f>Insumos!C237</f>
        <v>10.9109</v>
      </c>
      <c r="F672" s="974"/>
      <c r="G672" s="976">
        <f>ROUND(D672*E672,2)</f>
        <v>11.57</v>
      </c>
      <c r="H672" s="976"/>
      <c r="I672" s="458"/>
      <c r="J672" s="459"/>
    </row>
    <row r="673" spans="1:10" s="460" customFormat="1">
      <c r="A673" s="447"/>
      <c r="B673" s="449" t="s">
        <v>666</v>
      </c>
      <c r="C673" s="448" t="s">
        <v>112</v>
      </c>
      <c r="D673" s="457">
        <v>0.22</v>
      </c>
      <c r="E673" s="974">
        <f>Insumos!C238</f>
        <v>7.489300000000001</v>
      </c>
      <c r="F673" s="974"/>
      <c r="G673" s="976">
        <f>ROUND(D673*E673,2)</f>
        <v>1.65</v>
      </c>
      <c r="H673" s="976"/>
      <c r="I673" s="458"/>
      <c r="J673" s="459"/>
    </row>
    <row r="674" spans="1:10" s="460" customFormat="1">
      <c r="A674" s="447"/>
      <c r="B674" s="449" t="s">
        <v>510</v>
      </c>
      <c r="C674" s="448" t="s">
        <v>112</v>
      </c>
      <c r="D674" s="457">
        <v>0.22</v>
      </c>
      <c r="E674" s="974">
        <f>Insumos!C239</f>
        <v>6.5065000000000008</v>
      </c>
      <c r="F674" s="974"/>
      <c r="G674" s="976">
        <f>ROUND(D674*E674,2)</f>
        <v>1.43</v>
      </c>
      <c r="H674" s="976"/>
      <c r="I674" s="458"/>
      <c r="J674" s="459"/>
    </row>
    <row r="675" spans="1:10" s="460" customFormat="1">
      <c r="A675" s="447"/>
      <c r="B675" s="970" t="s">
        <v>536</v>
      </c>
      <c r="C675" s="970"/>
      <c r="D675" s="970"/>
      <c r="E675" s="450"/>
      <c r="F675" s="451"/>
      <c r="G675" s="452"/>
      <c r="H675" s="453">
        <f>SUM(G671:H672)</f>
        <v>12.39</v>
      </c>
      <c r="I675" s="458"/>
      <c r="J675" s="459"/>
    </row>
    <row r="676" spans="1:10" s="460" customFormat="1">
      <c r="A676" s="447"/>
      <c r="B676" s="970" t="s">
        <v>537</v>
      </c>
      <c r="C676" s="970"/>
      <c r="D676" s="970"/>
      <c r="E676" s="450"/>
      <c r="F676" s="451"/>
      <c r="G676" s="452"/>
      <c r="H676" s="453">
        <f>SUM(G673:H674)</f>
        <v>3.08</v>
      </c>
      <c r="I676" s="458"/>
      <c r="J676" s="459"/>
    </row>
    <row r="677" spans="1:10" s="460" customFormat="1">
      <c r="A677" s="447"/>
      <c r="B677" s="970" t="s">
        <v>1937</v>
      </c>
      <c r="C677" s="970"/>
      <c r="D677" s="970"/>
      <c r="E677" s="450"/>
      <c r="F677" s="451"/>
      <c r="G677" s="452"/>
      <c r="H677" s="453">
        <f>SUM(H675:H676)</f>
        <v>15.47</v>
      </c>
      <c r="I677" s="458"/>
      <c r="J677" s="459"/>
    </row>
    <row r="678" spans="1:10" s="460" customFormat="1">
      <c r="A678" s="447"/>
      <c r="B678" s="970" t="s">
        <v>538</v>
      </c>
      <c r="C678" s="970"/>
      <c r="D678" s="970"/>
      <c r="E678" s="450"/>
      <c r="F678" s="454" t="s">
        <v>539</v>
      </c>
      <c r="G678" s="452"/>
      <c r="H678" s="453">
        <f>ROUND(H677*F678,2)</f>
        <v>3.86</v>
      </c>
      <c r="I678" s="458"/>
      <c r="J678" s="459"/>
    </row>
    <row r="679" spans="1:10" s="460" customFormat="1">
      <c r="A679" s="447"/>
      <c r="B679" s="972" t="s">
        <v>540</v>
      </c>
      <c r="C679" s="972"/>
      <c r="D679" s="972"/>
      <c r="E679" s="781"/>
      <c r="F679" s="782"/>
      <c r="G679" s="783"/>
      <c r="H679" s="784">
        <f>SUM(H677:H678)</f>
        <v>19.330000000000002</v>
      </c>
      <c r="I679" s="458"/>
      <c r="J679" s="459"/>
    </row>
    <row r="680" spans="1:10" s="460" customFormat="1">
      <c r="A680" s="447"/>
      <c r="B680" s="797"/>
      <c r="C680" s="797"/>
      <c r="D680" s="797"/>
      <c r="E680" s="781"/>
      <c r="F680" s="782"/>
      <c r="G680" s="783"/>
      <c r="H680" s="784"/>
      <c r="I680" s="458"/>
      <c r="J680" s="459"/>
    </row>
    <row r="681" spans="1:10" s="167" customFormat="1">
      <c r="A681" s="756">
        <v>10</v>
      </c>
      <c r="B681" s="975" t="s">
        <v>673</v>
      </c>
      <c r="C681" s="975"/>
      <c r="D681" s="975"/>
      <c r="E681" s="975"/>
      <c r="F681" s="975"/>
      <c r="G681" s="766"/>
      <c r="H681" s="767"/>
      <c r="I681" s="326"/>
      <c r="J681" s="344"/>
    </row>
    <row r="682" spans="1:10" ht="28.9" customHeight="1">
      <c r="A682" s="403" t="s">
        <v>2343</v>
      </c>
      <c r="B682" s="961" t="s">
        <v>674</v>
      </c>
      <c r="C682" s="961"/>
      <c r="D682" s="961"/>
      <c r="E682" s="961"/>
      <c r="F682" s="961"/>
      <c r="G682" s="406"/>
      <c r="H682" s="403" t="s">
        <v>13</v>
      </c>
    </row>
    <row r="683" spans="1:10" ht="23.45" customHeight="1">
      <c r="A683" s="398"/>
      <c r="B683" s="230" t="s">
        <v>675</v>
      </c>
      <c r="C683" s="231" t="s">
        <v>112</v>
      </c>
      <c r="D683" s="401">
        <v>1.7899999999999999E-2</v>
      </c>
      <c r="E683" s="964">
        <f>Insumos!C970</f>
        <v>2.0474999999999999</v>
      </c>
      <c r="F683" s="964"/>
      <c r="G683" s="958">
        <f t="shared" ref="G683:G688" si="26">ROUND(D683*E683,2)</f>
        <v>0.04</v>
      </c>
      <c r="H683" s="958"/>
    </row>
    <row r="684" spans="1:10">
      <c r="A684" s="398"/>
      <c r="B684" s="230" t="s">
        <v>549</v>
      </c>
      <c r="C684" s="231" t="s">
        <v>16</v>
      </c>
      <c r="D684" s="401">
        <v>6.1058862433862426</v>
      </c>
      <c r="E684" s="964">
        <f>Insumos!C971</f>
        <v>0.50050000000000006</v>
      </c>
      <c r="F684" s="964"/>
      <c r="G684" s="958">
        <f t="shared" si="26"/>
        <v>3.06</v>
      </c>
      <c r="H684" s="958"/>
    </row>
    <row r="685" spans="1:10">
      <c r="A685" s="398"/>
      <c r="B685" s="230" t="s">
        <v>643</v>
      </c>
      <c r="C685" s="231" t="s">
        <v>16</v>
      </c>
      <c r="D685" s="401">
        <v>1.8</v>
      </c>
      <c r="E685" s="964">
        <f>Insumos!C972</f>
        <v>1.0465</v>
      </c>
      <c r="F685" s="964"/>
      <c r="G685" s="958">
        <f t="shared" si="26"/>
        <v>1.88</v>
      </c>
      <c r="H685" s="958"/>
    </row>
    <row r="686" spans="1:10">
      <c r="A686" s="398"/>
      <c r="B686" s="230" t="s">
        <v>618</v>
      </c>
      <c r="C686" s="231" t="s">
        <v>97</v>
      </c>
      <c r="D686" s="401">
        <v>0.03</v>
      </c>
      <c r="E686" s="964">
        <f>Insumos!C973</f>
        <v>31.85</v>
      </c>
      <c r="F686" s="964"/>
      <c r="G686" s="958">
        <f t="shared" si="26"/>
        <v>0.96</v>
      </c>
      <c r="H686" s="958"/>
    </row>
    <row r="687" spans="1:10">
      <c r="A687" s="398"/>
      <c r="B687" s="230" t="s">
        <v>535</v>
      </c>
      <c r="C687" s="231" t="s">
        <v>112</v>
      </c>
      <c r="D687" s="401">
        <v>0.2</v>
      </c>
      <c r="E687" s="964">
        <f>Insumos!C974</f>
        <v>6.4064000000000005</v>
      </c>
      <c r="F687" s="964"/>
      <c r="G687" s="958">
        <f t="shared" si="26"/>
        <v>1.28</v>
      </c>
      <c r="H687" s="958"/>
    </row>
    <row r="688" spans="1:10" s="406" customFormat="1" ht="15">
      <c r="A688" s="398"/>
      <c r="B688" s="230" t="s">
        <v>576</v>
      </c>
      <c r="C688" s="231" t="s">
        <v>112</v>
      </c>
      <c r="D688" s="401">
        <v>0.25</v>
      </c>
      <c r="E688" s="964">
        <f>Insumos!C975</f>
        <v>8.6722999999999999</v>
      </c>
      <c r="F688" s="964"/>
      <c r="G688" s="958">
        <f t="shared" si="26"/>
        <v>2.17</v>
      </c>
      <c r="H688" s="958"/>
      <c r="I688" s="407"/>
      <c r="J688" s="408"/>
    </row>
    <row r="689" spans="1:10">
      <c r="A689" s="398"/>
      <c r="B689" s="955" t="s">
        <v>536</v>
      </c>
      <c r="C689" s="955"/>
      <c r="D689" s="955"/>
      <c r="E689" s="389"/>
      <c r="F689" s="409"/>
      <c r="G689" s="410"/>
      <c r="H689" s="249">
        <f>SUM(G683:H686)</f>
        <v>5.94</v>
      </c>
    </row>
    <row r="690" spans="1:10">
      <c r="A690" s="398"/>
      <c r="B690" s="955" t="s">
        <v>537</v>
      </c>
      <c r="C690" s="955"/>
      <c r="D690" s="955"/>
      <c r="E690" s="389"/>
      <c r="F690" s="409"/>
      <c r="G690" s="410"/>
      <c r="H690" s="249">
        <f>SUM(G687:H688)</f>
        <v>3.45</v>
      </c>
    </row>
    <row r="691" spans="1:10">
      <c r="A691" s="398"/>
      <c r="B691" s="955" t="s">
        <v>1937</v>
      </c>
      <c r="C691" s="955"/>
      <c r="D691" s="955"/>
      <c r="E691" s="389"/>
      <c r="F691" s="409"/>
      <c r="G691" s="410"/>
      <c r="H691" s="328">
        <f>SUM(H689:H690)</f>
        <v>9.39</v>
      </c>
    </row>
    <row r="692" spans="1:10">
      <c r="A692" s="398"/>
      <c r="B692" s="955" t="s">
        <v>538</v>
      </c>
      <c r="C692" s="955"/>
      <c r="D692" s="955"/>
      <c r="E692" s="389"/>
      <c r="F692" s="411" t="s">
        <v>539</v>
      </c>
      <c r="G692" s="410"/>
      <c r="H692" s="249">
        <f t="shared" ref="H692" si="27">ROUND(H691*F692,2)</f>
        <v>2.34</v>
      </c>
    </row>
    <row r="693" spans="1:10">
      <c r="A693" s="398"/>
      <c r="B693" s="956" t="s">
        <v>540</v>
      </c>
      <c r="C693" s="956"/>
      <c r="D693" s="956"/>
      <c r="E693" s="740"/>
      <c r="F693" s="768"/>
      <c r="G693" s="769"/>
      <c r="H693" s="770">
        <f>SUM(H691:H692)</f>
        <v>11.73</v>
      </c>
    </row>
    <row r="694" spans="1:10" s="579" customFormat="1">
      <c r="A694" s="601"/>
      <c r="B694" s="780"/>
      <c r="C694" s="780"/>
      <c r="D694" s="780"/>
      <c r="E694" s="740"/>
      <c r="F694" s="768"/>
      <c r="G694" s="769"/>
      <c r="H694" s="770"/>
      <c r="I694" s="400"/>
      <c r="J694" s="404"/>
    </row>
    <row r="695" spans="1:10" ht="15">
      <c r="A695" s="403" t="s">
        <v>2344</v>
      </c>
      <c r="B695" s="961" t="s">
        <v>676</v>
      </c>
      <c r="C695" s="961"/>
      <c r="D695" s="961"/>
      <c r="E695" s="961"/>
      <c r="F695" s="961"/>
      <c r="G695" s="406"/>
      <c r="H695" s="403" t="s">
        <v>13</v>
      </c>
    </row>
    <row r="696" spans="1:10">
      <c r="A696" s="398"/>
      <c r="B696" s="230" t="s">
        <v>677</v>
      </c>
      <c r="C696" s="231" t="s">
        <v>16</v>
      </c>
      <c r="D696" s="436">
        <v>0.25</v>
      </c>
      <c r="E696" s="964">
        <f>Insumos!C976</f>
        <v>19.4558</v>
      </c>
      <c r="F696" s="964"/>
      <c r="G696" s="958">
        <f>ROUND(D696*E696,2)</f>
        <v>4.8600000000000003</v>
      </c>
      <c r="H696" s="958"/>
    </row>
    <row r="697" spans="1:10">
      <c r="A697" s="398"/>
      <c r="B697" s="230" t="s">
        <v>678</v>
      </c>
      <c r="C697" s="231" t="s">
        <v>13</v>
      </c>
      <c r="D697" s="436">
        <v>1</v>
      </c>
      <c r="E697" s="964">
        <f>Insumos!C977</f>
        <v>26.9178</v>
      </c>
      <c r="F697" s="964"/>
      <c r="G697" s="958">
        <f>ROUND(D697*E697,2)</f>
        <v>26.92</v>
      </c>
      <c r="H697" s="958"/>
    </row>
    <row r="698" spans="1:10" s="462" customFormat="1">
      <c r="A698" s="398"/>
      <c r="B698" s="230" t="s">
        <v>535</v>
      </c>
      <c r="C698" s="231" t="s">
        <v>112</v>
      </c>
      <c r="D698" s="436">
        <v>0.45</v>
      </c>
      <c r="E698" s="959">
        <f>E687</f>
        <v>6.4064000000000005</v>
      </c>
      <c r="F698" s="959"/>
      <c r="G698" s="958">
        <f>ROUND(D698*E698,2)</f>
        <v>2.88</v>
      </c>
      <c r="H698" s="958"/>
      <c r="I698" s="400"/>
      <c r="J698" s="461"/>
    </row>
    <row r="699" spans="1:10" s="406" customFormat="1" ht="15">
      <c r="A699" s="398"/>
      <c r="B699" s="955" t="s">
        <v>536</v>
      </c>
      <c r="C699" s="955"/>
      <c r="D699" s="955"/>
      <c r="E699" s="389"/>
      <c r="F699" s="409"/>
      <c r="G699" s="410"/>
      <c r="H699" s="249">
        <f>SUM(G696:H697)</f>
        <v>31.78</v>
      </c>
      <c r="I699" s="407"/>
      <c r="J699" s="408"/>
    </row>
    <row r="700" spans="1:10">
      <c r="A700" s="398"/>
      <c r="B700" s="955" t="s">
        <v>537</v>
      </c>
      <c r="C700" s="955"/>
      <c r="D700" s="955"/>
      <c r="E700" s="389"/>
      <c r="F700" s="409"/>
      <c r="G700" s="410"/>
      <c r="H700" s="249">
        <f>SUM(G698)</f>
        <v>2.88</v>
      </c>
    </row>
    <row r="701" spans="1:10">
      <c r="A701" s="398"/>
      <c r="B701" s="955" t="s">
        <v>1937</v>
      </c>
      <c r="C701" s="955"/>
      <c r="D701" s="955"/>
      <c r="E701" s="389"/>
      <c r="F701" s="409"/>
      <c r="G701" s="410"/>
      <c r="H701" s="249">
        <f>SUM(H699:H700)</f>
        <v>34.660000000000004</v>
      </c>
    </row>
    <row r="702" spans="1:10">
      <c r="A702" s="398"/>
      <c r="B702" s="955" t="s">
        <v>538</v>
      </c>
      <c r="C702" s="955"/>
      <c r="D702" s="955"/>
      <c r="E702" s="389"/>
      <c r="F702" s="411" t="s">
        <v>539</v>
      </c>
      <c r="G702" s="410"/>
      <c r="H702" s="249">
        <f t="shared" ref="H702" si="28">ROUND(H701*F702,2)</f>
        <v>8.65</v>
      </c>
    </row>
    <row r="703" spans="1:10">
      <c r="A703" s="398"/>
      <c r="B703" s="956" t="s">
        <v>540</v>
      </c>
      <c r="C703" s="956"/>
      <c r="D703" s="956"/>
      <c r="E703" s="740"/>
      <c r="F703" s="768"/>
      <c r="G703" s="769"/>
      <c r="H703" s="770">
        <f>SUM(H701:H702)</f>
        <v>43.31</v>
      </c>
    </row>
    <row r="704" spans="1:10" s="579" customFormat="1">
      <c r="A704" s="601"/>
      <c r="B704" s="780"/>
      <c r="C704" s="780"/>
      <c r="D704" s="780"/>
      <c r="E704" s="740"/>
      <c r="F704" s="768"/>
      <c r="G704" s="769"/>
      <c r="H704" s="770"/>
      <c r="I704" s="400"/>
      <c r="J704" s="404"/>
    </row>
    <row r="705" spans="1:10" ht="24.6" customHeight="1">
      <c r="A705" s="403" t="s">
        <v>2345</v>
      </c>
      <c r="B705" s="961" t="s">
        <v>679</v>
      </c>
      <c r="C705" s="961"/>
      <c r="D705" s="961"/>
      <c r="E705" s="961"/>
      <c r="F705" s="961"/>
      <c r="G705" s="406"/>
      <c r="H705" s="403" t="s">
        <v>13</v>
      </c>
    </row>
    <row r="706" spans="1:10">
      <c r="A706" s="398"/>
      <c r="B706" s="230" t="s">
        <v>549</v>
      </c>
      <c r="C706" s="231" t="s">
        <v>16</v>
      </c>
      <c r="D706" s="436">
        <v>9.6956999999999987</v>
      </c>
      <c r="E706" s="964">
        <f>Insumos!C979</f>
        <v>0.50050000000000006</v>
      </c>
      <c r="F706" s="964"/>
      <c r="G706" s="958">
        <f>ROUND(D706*E706,2)</f>
        <v>4.8499999999999996</v>
      </c>
      <c r="H706" s="958"/>
    </row>
    <row r="707" spans="1:10">
      <c r="A707" s="398"/>
      <c r="B707" s="230" t="s">
        <v>618</v>
      </c>
      <c r="C707" s="231" t="s">
        <v>97</v>
      </c>
      <c r="D707" s="436">
        <v>2.4875000000000001E-2</v>
      </c>
      <c r="E707" s="964">
        <f>Insumos!C980</f>
        <v>31.85</v>
      </c>
      <c r="F707" s="964"/>
      <c r="G707" s="958">
        <f>ROUND(D707*E707,2)</f>
        <v>0.79</v>
      </c>
      <c r="H707" s="958"/>
    </row>
    <row r="708" spans="1:10">
      <c r="A708" s="398"/>
      <c r="B708" s="230" t="s">
        <v>535</v>
      </c>
      <c r="C708" s="231" t="s">
        <v>112</v>
      </c>
      <c r="D708" s="436">
        <v>0.372</v>
      </c>
      <c r="E708" s="964">
        <f>Insumos!C981</f>
        <v>6.4064000000000005</v>
      </c>
      <c r="F708" s="964"/>
      <c r="G708" s="958">
        <f>ROUND(D708*E708,2)</f>
        <v>2.38</v>
      </c>
      <c r="H708" s="958"/>
    </row>
    <row r="709" spans="1:10" s="406" customFormat="1" ht="15">
      <c r="A709" s="398"/>
      <c r="B709" s="230" t="s">
        <v>576</v>
      </c>
      <c r="C709" s="231" t="s">
        <v>112</v>
      </c>
      <c r="D709" s="436">
        <v>0.22</v>
      </c>
      <c r="E709" s="964">
        <f>Insumos!C982</f>
        <v>8.6722999999999999</v>
      </c>
      <c r="F709" s="964"/>
      <c r="G709" s="958">
        <f>ROUND(D709*E709,2)</f>
        <v>1.91</v>
      </c>
      <c r="H709" s="958"/>
      <c r="I709" s="407"/>
      <c r="J709" s="408"/>
    </row>
    <row r="710" spans="1:10">
      <c r="A710" s="398"/>
      <c r="B710" s="955" t="s">
        <v>536</v>
      </c>
      <c r="C710" s="955"/>
      <c r="D710" s="955"/>
      <c r="E710" s="389"/>
      <c r="F710" s="409"/>
      <c r="G710" s="410"/>
      <c r="H710" s="249">
        <f>SUM(G706:H707)</f>
        <v>5.64</v>
      </c>
    </row>
    <row r="711" spans="1:10">
      <c r="A711" s="398"/>
      <c r="B711" s="955" t="s">
        <v>537</v>
      </c>
      <c r="C711" s="955"/>
      <c r="D711" s="955"/>
      <c r="E711" s="389"/>
      <c r="F711" s="409"/>
      <c r="G711" s="410"/>
      <c r="H711" s="249">
        <f>SUM(G708:H709)</f>
        <v>4.29</v>
      </c>
    </row>
    <row r="712" spans="1:10">
      <c r="A712" s="398"/>
      <c r="B712" s="955" t="s">
        <v>1937</v>
      </c>
      <c r="C712" s="955"/>
      <c r="D712" s="955"/>
      <c r="E712" s="389"/>
      <c r="F712" s="409"/>
      <c r="G712" s="410"/>
      <c r="H712" s="328">
        <f>SUM(H710:H711)</f>
        <v>9.93</v>
      </c>
    </row>
    <row r="713" spans="1:10">
      <c r="A713" s="398"/>
      <c r="B713" s="955" t="s">
        <v>538</v>
      </c>
      <c r="C713" s="955"/>
      <c r="D713" s="955"/>
      <c r="E713" s="389"/>
      <c r="F713" s="411" t="s">
        <v>539</v>
      </c>
      <c r="G713" s="410"/>
      <c r="H713" s="249">
        <f t="shared" ref="H713" si="29">ROUND(H712*F713,2)</f>
        <v>2.48</v>
      </c>
    </row>
    <row r="714" spans="1:10">
      <c r="A714" s="398"/>
      <c r="B714" s="956" t="s">
        <v>540</v>
      </c>
      <c r="C714" s="956"/>
      <c r="D714" s="956"/>
      <c r="E714" s="740"/>
      <c r="F714" s="768"/>
      <c r="G714" s="769"/>
      <c r="H714" s="770">
        <f>SUM(H712:H713)</f>
        <v>12.41</v>
      </c>
    </row>
    <row r="715" spans="1:10" s="579" customFormat="1">
      <c r="A715" s="601"/>
      <c r="B715" s="780"/>
      <c r="C715" s="780"/>
      <c r="D715" s="780"/>
      <c r="E715" s="740"/>
      <c r="F715" s="768"/>
      <c r="G715" s="769"/>
      <c r="H715" s="770"/>
      <c r="I715" s="400"/>
      <c r="J715" s="404"/>
    </row>
    <row r="716" spans="1:10" ht="28.15" customHeight="1">
      <c r="A716" s="403" t="s">
        <v>2346</v>
      </c>
      <c r="B716" s="961" t="s">
        <v>681</v>
      </c>
      <c r="C716" s="961"/>
      <c r="D716" s="961"/>
      <c r="E716" s="961"/>
      <c r="F716" s="961"/>
      <c r="G716" s="406"/>
      <c r="H716" s="403" t="s">
        <v>13</v>
      </c>
    </row>
    <row r="717" spans="1:10">
      <c r="A717" s="398"/>
      <c r="B717" s="230" t="s">
        <v>682</v>
      </c>
      <c r="C717" s="231" t="s">
        <v>16</v>
      </c>
      <c r="D717" s="401">
        <v>0.3</v>
      </c>
      <c r="E717" s="964">
        <f>Insumos!C983</f>
        <v>9.4640000000000004</v>
      </c>
      <c r="F717" s="964"/>
      <c r="G717" s="958">
        <f>ROUND(D717*E717,2)</f>
        <v>2.84</v>
      </c>
      <c r="H717" s="958"/>
    </row>
    <row r="718" spans="1:10">
      <c r="A718" s="398"/>
      <c r="B718" s="230" t="s">
        <v>683</v>
      </c>
      <c r="C718" s="231" t="s">
        <v>16</v>
      </c>
      <c r="D718" s="401">
        <v>2.9939999999999993</v>
      </c>
      <c r="E718" s="964">
        <f>Insumos!C984</f>
        <v>1.6380000000000001</v>
      </c>
      <c r="F718" s="964"/>
      <c r="G718" s="958">
        <f>ROUND(D718*E718,2)</f>
        <v>4.9000000000000004</v>
      </c>
      <c r="H718" s="958"/>
    </row>
    <row r="719" spans="1:10" s="406" customFormat="1" ht="15">
      <c r="A719" s="398"/>
      <c r="B719" s="230" t="s">
        <v>518</v>
      </c>
      <c r="C719" s="231" t="s">
        <v>112</v>
      </c>
      <c r="D719" s="401">
        <v>2</v>
      </c>
      <c r="E719" s="964">
        <f>Insumos!C985</f>
        <v>8.5175999999999998</v>
      </c>
      <c r="F719" s="964"/>
      <c r="G719" s="958">
        <f>ROUND(D719*E719,2)</f>
        <v>17.04</v>
      </c>
      <c r="H719" s="958"/>
      <c r="I719" s="407"/>
      <c r="J719" s="408"/>
    </row>
    <row r="720" spans="1:10">
      <c r="A720" s="398"/>
      <c r="B720" s="955" t="s">
        <v>536</v>
      </c>
      <c r="C720" s="955"/>
      <c r="D720" s="955"/>
      <c r="E720" s="389"/>
      <c r="F720" s="409"/>
      <c r="G720" s="410"/>
      <c r="H720" s="249">
        <f>SUM(G717:H718)</f>
        <v>7.74</v>
      </c>
    </row>
    <row r="721" spans="1:10">
      <c r="A721" s="398"/>
      <c r="B721" s="955" t="s">
        <v>537</v>
      </c>
      <c r="C721" s="955"/>
      <c r="D721" s="955"/>
      <c r="E721" s="389"/>
      <c r="F721" s="409"/>
      <c r="G721" s="410"/>
      <c r="H721" s="249">
        <f>SUM(G719)</f>
        <v>17.04</v>
      </c>
    </row>
    <row r="722" spans="1:10">
      <c r="A722" s="398"/>
      <c r="B722" s="955" t="s">
        <v>1937</v>
      </c>
      <c r="C722" s="955"/>
      <c r="D722" s="955"/>
      <c r="E722" s="389"/>
      <c r="F722" s="409"/>
      <c r="G722" s="410"/>
      <c r="H722" s="249">
        <f>SUM(H720:H721)</f>
        <v>24.78</v>
      </c>
    </row>
    <row r="723" spans="1:10">
      <c r="A723" s="398"/>
      <c r="B723" s="955" t="s">
        <v>538</v>
      </c>
      <c r="C723" s="955"/>
      <c r="D723" s="955"/>
      <c r="E723" s="389"/>
      <c r="F723" s="411" t="s">
        <v>539</v>
      </c>
      <c r="G723" s="410"/>
      <c r="H723" s="249">
        <f t="shared" ref="H723" si="30">ROUND(H722*F723,2)</f>
        <v>6.19</v>
      </c>
    </row>
    <row r="724" spans="1:10">
      <c r="A724" s="398"/>
      <c r="B724" s="956" t="s">
        <v>540</v>
      </c>
      <c r="C724" s="956"/>
      <c r="D724" s="956"/>
      <c r="E724" s="740"/>
      <c r="F724" s="768"/>
      <c r="G724" s="769"/>
      <c r="H724" s="770">
        <f>SUM(H722:H723)</f>
        <v>30.970000000000002</v>
      </c>
    </row>
    <row r="725" spans="1:10" s="579" customFormat="1">
      <c r="A725" s="601"/>
      <c r="B725" s="780"/>
      <c r="C725" s="780"/>
      <c r="D725" s="780"/>
      <c r="E725" s="740"/>
      <c r="F725" s="768"/>
      <c r="G725" s="769"/>
      <c r="H725" s="770"/>
      <c r="I725" s="400"/>
      <c r="J725" s="404"/>
    </row>
    <row r="726" spans="1:10" ht="21" customHeight="1">
      <c r="A726" s="403" t="s">
        <v>2347</v>
      </c>
      <c r="B726" s="961" t="s">
        <v>1258</v>
      </c>
      <c r="C726" s="961"/>
      <c r="D726" s="961"/>
      <c r="E726" s="961"/>
      <c r="F726" s="961"/>
      <c r="G726" s="406"/>
      <c r="H726" s="403" t="s">
        <v>13</v>
      </c>
    </row>
    <row r="727" spans="1:10">
      <c r="A727" s="398"/>
      <c r="B727" s="230" t="s">
        <v>1259</v>
      </c>
      <c r="C727" s="231" t="s">
        <v>13</v>
      </c>
      <c r="D727" s="401">
        <v>1.0780000000000001</v>
      </c>
      <c r="E727" s="964">
        <f>Insumos!C986</f>
        <v>0.45500000000000002</v>
      </c>
      <c r="F727" s="964"/>
      <c r="G727" s="958">
        <f>ROUND(D727*E727,2)</f>
        <v>0.49</v>
      </c>
      <c r="H727" s="958"/>
    </row>
    <row r="728" spans="1:10" s="406" customFormat="1" ht="15">
      <c r="A728" s="398"/>
      <c r="B728" s="230" t="s">
        <v>518</v>
      </c>
      <c r="C728" s="231" t="s">
        <v>112</v>
      </c>
      <c r="D728" s="401">
        <v>0.2</v>
      </c>
      <c r="E728" s="964">
        <f>Insumos!C987</f>
        <v>8.5175999999999998</v>
      </c>
      <c r="F728" s="964"/>
      <c r="G728" s="958">
        <f>ROUND(D728*E728,2)</f>
        <v>1.7</v>
      </c>
      <c r="H728" s="958"/>
      <c r="I728" s="407"/>
      <c r="J728" s="408"/>
    </row>
    <row r="729" spans="1:10">
      <c r="A729" s="398"/>
      <c r="B729" s="955" t="s">
        <v>536</v>
      </c>
      <c r="C729" s="955"/>
      <c r="D729" s="955"/>
      <c r="E729" s="389"/>
      <c r="F729" s="409"/>
      <c r="G729" s="410"/>
      <c r="H729" s="249">
        <f>SUM(G727:H727)</f>
        <v>0.49</v>
      </c>
    </row>
    <row r="730" spans="1:10">
      <c r="A730" s="398"/>
      <c r="B730" s="955" t="s">
        <v>537</v>
      </c>
      <c r="C730" s="955"/>
      <c r="D730" s="955"/>
      <c r="E730" s="389"/>
      <c r="F730" s="409"/>
      <c r="G730" s="410"/>
      <c r="H730" s="249">
        <f>SUM(G728)</f>
        <v>1.7</v>
      </c>
    </row>
    <row r="731" spans="1:10">
      <c r="A731" s="398"/>
      <c r="B731" s="955" t="s">
        <v>1937</v>
      </c>
      <c r="C731" s="955"/>
      <c r="D731" s="955"/>
      <c r="E731" s="389"/>
      <c r="F731" s="409"/>
      <c r="G731" s="410"/>
      <c r="H731" s="328">
        <f>SUM(H729:H730)</f>
        <v>2.19</v>
      </c>
    </row>
    <row r="732" spans="1:10">
      <c r="A732" s="398"/>
      <c r="B732" s="955" t="s">
        <v>538</v>
      </c>
      <c r="C732" s="955"/>
      <c r="D732" s="955"/>
      <c r="E732" s="389"/>
      <c r="F732" s="411" t="s">
        <v>539</v>
      </c>
      <c r="G732" s="410"/>
      <c r="H732" s="249">
        <f t="shared" ref="H732" si="31">ROUND(H731*F732,2)</f>
        <v>0.55000000000000004</v>
      </c>
    </row>
    <row r="733" spans="1:10">
      <c r="A733" s="398"/>
      <c r="B733" s="956" t="s">
        <v>540</v>
      </c>
      <c r="C733" s="956"/>
      <c r="D733" s="956"/>
      <c r="E733" s="740"/>
      <c r="F733" s="768"/>
      <c r="G733" s="769"/>
      <c r="H733" s="770">
        <f>SUM(H731:H732)</f>
        <v>2.74</v>
      </c>
    </row>
    <row r="734" spans="1:10" s="579" customFormat="1">
      <c r="A734" s="601"/>
      <c r="B734" s="780"/>
      <c r="C734" s="780"/>
      <c r="D734" s="780"/>
      <c r="E734" s="740"/>
      <c r="F734" s="768"/>
      <c r="G734" s="769"/>
      <c r="H734" s="770"/>
      <c r="I734" s="400"/>
      <c r="J734" s="404"/>
    </row>
    <row r="735" spans="1:10" s="167" customFormat="1">
      <c r="A735" s="756">
        <v>11</v>
      </c>
      <c r="B735" s="975" t="s">
        <v>632</v>
      </c>
      <c r="C735" s="975"/>
      <c r="D735" s="975"/>
      <c r="E735" s="975"/>
      <c r="F735" s="975"/>
      <c r="G735" s="766"/>
      <c r="H735" s="767"/>
      <c r="I735" s="326"/>
      <c r="J735" s="344"/>
    </row>
    <row r="736" spans="1:10" s="406" customFormat="1" ht="30" customHeight="1">
      <c r="A736" s="403" t="s">
        <v>2348</v>
      </c>
      <c r="B736" s="961" t="s">
        <v>1570</v>
      </c>
      <c r="C736" s="961"/>
      <c r="D736" s="961"/>
      <c r="E736" s="961"/>
      <c r="F736" s="961"/>
      <c r="H736" s="403" t="s">
        <v>13</v>
      </c>
      <c r="I736" s="407"/>
      <c r="J736" s="408"/>
    </row>
    <row r="737" spans="1:10">
      <c r="A737" s="398"/>
      <c r="B737" s="230" t="s">
        <v>633</v>
      </c>
      <c r="C737" s="231" t="s">
        <v>14</v>
      </c>
      <c r="D737" s="401">
        <v>23.979999999999997</v>
      </c>
      <c r="E737" s="959">
        <f>Insumos!C156</f>
        <v>0.52779999999999994</v>
      </c>
      <c r="F737" s="959"/>
      <c r="G737" s="958">
        <f>ROUND(D737*E737,2)</f>
        <v>12.66</v>
      </c>
      <c r="H737" s="958"/>
    </row>
    <row r="738" spans="1:10">
      <c r="A738" s="398"/>
      <c r="B738" s="230" t="s">
        <v>634</v>
      </c>
      <c r="C738" s="231" t="s">
        <v>97</v>
      </c>
      <c r="D738" s="401">
        <v>9.7000000000000003E-3</v>
      </c>
      <c r="E738" s="959">
        <f>Insumos!C157</f>
        <v>346.0548</v>
      </c>
      <c r="F738" s="959"/>
      <c r="G738" s="958">
        <f>ROUND(D738*E738,2)</f>
        <v>3.36</v>
      </c>
      <c r="H738" s="958"/>
    </row>
    <row r="739" spans="1:10">
      <c r="A739" s="398"/>
      <c r="B739" s="230" t="s">
        <v>535</v>
      </c>
      <c r="C739" s="231" t="s">
        <v>112</v>
      </c>
      <c r="D739" s="401">
        <v>1</v>
      </c>
      <c r="E739" s="959">
        <f>Insumos!C158</f>
        <v>6.4064000000000005</v>
      </c>
      <c r="F739" s="959"/>
      <c r="G739" s="958">
        <f>ROUND(D739*E739,2)</f>
        <v>6.41</v>
      </c>
      <c r="H739" s="958"/>
    </row>
    <row r="740" spans="1:10">
      <c r="A740" s="398"/>
      <c r="B740" s="230" t="s">
        <v>576</v>
      </c>
      <c r="C740" s="231" t="s">
        <v>112</v>
      </c>
      <c r="D740" s="401">
        <v>1</v>
      </c>
      <c r="E740" s="959">
        <f>Insumos!C159</f>
        <v>8.6722999999999999</v>
      </c>
      <c r="F740" s="959"/>
      <c r="G740" s="958">
        <f>ROUND(D740*E740,2)</f>
        <v>8.67</v>
      </c>
      <c r="H740" s="958"/>
    </row>
    <row r="741" spans="1:10">
      <c r="A741" s="398"/>
      <c r="B741" s="955" t="s">
        <v>536</v>
      </c>
      <c r="C741" s="955"/>
      <c r="D741" s="955"/>
      <c r="E741" s="389"/>
      <c r="F741" s="409"/>
      <c r="G741" s="410"/>
      <c r="H741" s="249">
        <f>SUM(G737:H738)</f>
        <v>16.02</v>
      </c>
    </row>
    <row r="742" spans="1:10">
      <c r="A742" s="398"/>
      <c r="B742" s="955" t="s">
        <v>537</v>
      </c>
      <c r="C742" s="955"/>
      <c r="D742" s="955"/>
      <c r="E742" s="389"/>
      <c r="F742" s="409"/>
      <c r="G742" s="410"/>
      <c r="H742" s="249">
        <f>SUM(G739:H740)</f>
        <v>15.08</v>
      </c>
    </row>
    <row r="743" spans="1:10">
      <c r="A743" s="398"/>
      <c r="B743" s="955" t="s">
        <v>1937</v>
      </c>
      <c r="C743" s="955"/>
      <c r="D743" s="955"/>
      <c r="E743" s="389"/>
      <c r="F743" s="409"/>
      <c r="G743" s="410"/>
      <c r="H743" s="249">
        <f>SUM(H741:H742)</f>
        <v>31.1</v>
      </c>
    </row>
    <row r="744" spans="1:10">
      <c r="A744" s="398"/>
      <c r="B744" s="955" t="s">
        <v>538</v>
      </c>
      <c r="C744" s="955"/>
      <c r="D744" s="955"/>
      <c r="E744" s="389"/>
      <c r="F744" s="411" t="s">
        <v>539</v>
      </c>
      <c r="G744" s="410"/>
      <c r="H744" s="249">
        <f>ROUND(H743*F744,2)</f>
        <v>7.76</v>
      </c>
    </row>
    <row r="745" spans="1:10">
      <c r="A745" s="398"/>
      <c r="B745" s="956" t="s">
        <v>540</v>
      </c>
      <c r="C745" s="956"/>
      <c r="D745" s="956"/>
      <c r="E745" s="740"/>
      <c r="F745" s="768"/>
      <c r="G745" s="769"/>
      <c r="H745" s="770">
        <f>SUM(H743:H744)</f>
        <v>38.86</v>
      </c>
    </row>
    <row r="746" spans="1:10" s="579" customFormat="1">
      <c r="A746" s="601"/>
      <c r="B746" s="780"/>
      <c r="C746" s="780"/>
      <c r="D746" s="780"/>
      <c r="E746" s="740"/>
      <c r="F746" s="768"/>
      <c r="G746" s="769"/>
      <c r="H746" s="770"/>
      <c r="I746" s="400"/>
      <c r="J746" s="404"/>
    </row>
    <row r="747" spans="1:10" s="406" customFormat="1" ht="26.45" customHeight="1">
      <c r="A747" s="403" t="s">
        <v>2349</v>
      </c>
      <c r="B747" s="961" t="s">
        <v>1116</v>
      </c>
      <c r="C747" s="961"/>
      <c r="D747" s="961"/>
      <c r="E747" s="961"/>
      <c r="F747" s="961"/>
      <c r="H747" s="403" t="s">
        <v>13</v>
      </c>
      <c r="I747" s="407"/>
      <c r="J747" s="408"/>
    </row>
    <row r="748" spans="1:10">
      <c r="A748" s="398"/>
      <c r="B748" s="230" t="s">
        <v>549</v>
      </c>
      <c r="C748" s="231" t="s">
        <v>16</v>
      </c>
      <c r="D748" s="401">
        <v>2.3320383408000245</v>
      </c>
      <c r="E748" s="964">
        <f>Insumos!C160</f>
        <v>0.50050000000000006</v>
      </c>
      <c r="F748" s="964"/>
      <c r="G748" s="958">
        <f>ROUND(D748*E748,2)</f>
        <v>1.17</v>
      </c>
      <c r="H748" s="958"/>
    </row>
    <row r="749" spans="1:10">
      <c r="A749" s="398"/>
      <c r="B749" s="230" t="s">
        <v>635</v>
      </c>
      <c r="C749" s="231" t="s">
        <v>14</v>
      </c>
      <c r="D749" s="401">
        <v>4</v>
      </c>
      <c r="E749" s="964">
        <f>Insumos!C161</f>
        <v>16.7349</v>
      </c>
      <c r="F749" s="964"/>
      <c r="G749" s="958">
        <f>ROUND(D749*E749,2)</f>
        <v>66.94</v>
      </c>
      <c r="H749" s="958"/>
    </row>
    <row r="750" spans="1:10">
      <c r="A750" s="398"/>
      <c r="B750" s="230" t="s">
        <v>618</v>
      </c>
      <c r="C750" s="231" t="s">
        <v>97</v>
      </c>
      <c r="D750" s="401">
        <v>5.0159999999999996E-3</v>
      </c>
      <c r="E750" s="964">
        <f>Insumos!C162</f>
        <v>31.85</v>
      </c>
      <c r="F750" s="964"/>
      <c r="G750" s="958">
        <f>ROUND(D750*E750,2)</f>
        <v>0.16</v>
      </c>
      <c r="H750" s="958"/>
    </row>
    <row r="751" spans="1:10">
      <c r="A751" s="398"/>
      <c r="B751" s="230" t="s">
        <v>535</v>
      </c>
      <c r="C751" s="231" t="s">
        <v>112</v>
      </c>
      <c r="D751" s="401">
        <v>0.89500000000000002</v>
      </c>
      <c r="E751" s="959">
        <f>Insumos!C163</f>
        <v>6.4064000000000005</v>
      </c>
      <c r="F751" s="959"/>
      <c r="G751" s="958">
        <f>ROUND(D751*E751,2)</f>
        <v>5.73</v>
      </c>
      <c r="H751" s="958"/>
    </row>
    <row r="752" spans="1:10">
      <c r="A752" s="398"/>
      <c r="B752" s="230" t="s">
        <v>576</v>
      </c>
      <c r="C752" s="231" t="s">
        <v>112</v>
      </c>
      <c r="D752" s="401">
        <v>0.85</v>
      </c>
      <c r="E752" s="959">
        <f>Insumos!C164</f>
        <v>8.6722999999999999</v>
      </c>
      <c r="F752" s="959"/>
      <c r="G752" s="958">
        <f>ROUND(D752*E752,2)</f>
        <v>7.37</v>
      </c>
      <c r="H752" s="958"/>
    </row>
    <row r="753" spans="1:10">
      <c r="A753" s="398"/>
      <c r="B753" s="955" t="s">
        <v>536</v>
      </c>
      <c r="C753" s="955"/>
      <c r="D753" s="955"/>
      <c r="E753" s="389"/>
      <c r="F753" s="409"/>
      <c r="G753" s="410"/>
      <c r="H753" s="249">
        <f>SUM(G748:H750)</f>
        <v>68.27</v>
      </c>
    </row>
    <row r="754" spans="1:10">
      <c r="A754" s="398"/>
      <c r="B754" s="955" t="s">
        <v>537</v>
      </c>
      <c r="C754" s="955"/>
      <c r="D754" s="955"/>
      <c r="E754" s="389"/>
      <c r="F754" s="409"/>
      <c r="G754" s="410"/>
      <c r="H754" s="249">
        <f>SUM(G751:H752)</f>
        <v>13.100000000000001</v>
      </c>
    </row>
    <row r="755" spans="1:10">
      <c r="A755" s="398"/>
      <c r="B755" s="955" t="s">
        <v>1937</v>
      </c>
      <c r="C755" s="955"/>
      <c r="D755" s="955"/>
      <c r="E755" s="389"/>
      <c r="F755" s="409"/>
      <c r="G755" s="410"/>
      <c r="H755" s="328">
        <f>SUM(H753:H754)</f>
        <v>81.37</v>
      </c>
    </row>
    <row r="756" spans="1:10">
      <c r="A756" s="398"/>
      <c r="B756" s="955" t="s">
        <v>538</v>
      </c>
      <c r="C756" s="955"/>
      <c r="D756" s="955"/>
      <c r="E756" s="389"/>
      <c r="F756" s="411" t="s">
        <v>539</v>
      </c>
      <c r="G756" s="410"/>
      <c r="H756" s="249">
        <f>ROUND(H755*F756,2)</f>
        <v>20.309999999999999</v>
      </c>
    </row>
    <row r="757" spans="1:10">
      <c r="A757" s="398"/>
      <c r="B757" s="956" t="s">
        <v>540</v>
      </c>
      <c r="C757" s="956"/>
      <c r="D757" s="956"/>
      <c r="E757" s="740"/>
      <c r="F757" s="768"/>
      <c r="G757" s="769"/>
      <c r="H757" s="770">
        <f>SUM(H755:H756)</f>
        <v>101.68</v>
      </c>
    </row>
    <row r="758" spans="1:10" s="579" customFormat="1">
      <c r="A758" s="601"/>
      <c r="B758" s="780"/>
      <c r="C758" s="780"/>
      <c r="D758" s="780"/>
      <c r="E758" s="740"/>
      <c r="F758" s="768"/>
      <c r="G758" s="769"/>
      <c r="H758" s="770"/>
      <c r="I758" s="400"/>
      <c r="J758" s="404"/>
    </row>
    <row r="759" spans="1:10" s="406" customFormat="1" ht="36.6" customHeight="1">
      <c r="A759" s="403" t="s">
        <v>2350</v>
      </c>
      <c r="B759" s="961" t="s">
        <v>636</v>
      </c>
      <c r="C759" s="961"/>
      <c r="D759" s="961"/>
      <c r="E759" s="961"/>
      <c r="F759" s="961"/>
      <c r="H759" s="403" t="s">
        <v>13</v>
      </c>
      <c r="I759" s="407"/>
      <c r="J759" s="408"/>
    </row>
    <row r="760" spans="1:10" ht="22.5">
      <c r="A760" s="398"/>
      <c r="B760" s="230" t="s">
        <v>637</v>
      </c>
      <c r="C760" s="231" t="s">
        <v>13</v>
      </c>
      <c r="D760" s="401">
        <v>1</v>
      </c>
      <c r="E760" s="959">
        <f>Insumos!C165</f>
        <v>108.6904</v>
      </c>
      <c r="F760" s="959"/>
      <c r="G760" s="958">
        <f>ROUND(D760*E760,2)</f>
        <v>108.69</v>
      </c>
      <c r="H760" s="958"/>
    </row>
    <row r="761" spans="1:10">
      <c r="A761" s="398"/>
      <c r="B761" s="955" t="s">
        <v>536</v>
      </c>
      <c r="C761" s="955"/>
      <c r="D761" s="955"/>
      <c r="E761" s="389"/>
      <c r="F761" s="409"/>
      <c r="G761" s="410"/>
      <c r="H761" s="249">
        <f>SUM(G760)</f>
        <v>108.69</v>
      </c>
    </row>
    <row r="762" spans="1:10">
      <c r="A762" s="398"/>
      <c r="B762" s="955" t="s">
        <v>537</v>
      </c>
      <c r="C762" s="955"/>
      <c r="D762" s="955"/>
      <c r="E762" s="389"/>
      <c r="F762" s="409"/>
      <c r="G762" s="410"/>
      <c r="H762" s="249">
        <v>0</v>
      </c>
    </row>
    <row r="763" spans="1:10">
      <c r="A763" s="398"/>
      <c r="B763" s="955" t="s">
        <v>1937</v>
      </c>
      <c r="C763" s="955"/>
      <c r="D763" s="955"/>
      <c r="E763" s="389"/>
      <c r="F763" s="409"/>
      <c r="G763" s="410"/>
      <c r="H763" s="249">
        <f>SUM(H761:H762)</f>
        <v>108.69</v>
      </c>
    </row>
    <row r="764" spans="1:10">
      <c r="A764" s="398"/>
      <c r="B764" s="955" t="s">
        <v>538</v>
      </c>
      <c r="C764" s="955"/>
      <c r="D764" s="955"/>
      <c r="E764" s="389"/>
      <c r="F764" s="411" t="s">
        <v>539</v>
      </c>
      <c r="G764" s="410"/>
      <c r="H764" s="249">
        <f>ROUND(H763*F764,2)</f>
        <v>27.13</v>
      </c>
    </row>
    <row r="765" spans="1:10">
      <c r="A765" s="398"/>
      <c r="B765" s="956" t="s">
        <v>540</v>
      </c>
      <c r="C765" s="956"/>
      <c r="D765" s="956"/>
      <c r="E765" s="740"/>
      <c r="F765" s="768"/>
      <c r="G765" s="769"/>
      <c r="H765" s="770">
        <f>SUM(H763:H764)</f>
        <v>135.82</v>
      </c>
    </row>
    <row r="766" spans="1:10" s="579" customFormat="1">
      <c r="A766" s="601"/>
      <c r="B766" s="780"/>
      <c r="C766" s="780"/>
      <c r="D766" s="780"/>
      <c r="E766" s="740"/>
      <c r="F766" s="768"/>
      <c r="G766" s="769"/>
      <c r="H766" s="770"/>
      <c r="I766" s="400"/>
      <c r="J766" s="404"/>
    </row>
    <row r="767" spans="1:10" s="406" customFormat="1" ht="24.6" customHeight="1">
      <c r="A767" s="403" t="s">
        <v>2351</v>
      </c>
      <c r="B767" s="960" t="s">
        <v>1561</v>
      </c>
      <c r="C767" s="960"/>
      <c r="D767" s="960"/>
      <c r="E767" s="960"/>
      <c r="F767" s="960"/>
      <c r="H767" s="403" t="s">
        <v>13</v>
      </c>
      <c r="I767" s="407"/>
      <c r="J767" s="408"/>
    </row>
    <row r="768" spans="1:10">
      <c r="A768" s="398"/>
      <c r="B768" s="230" t="s">
        <v>544</v>
      </c>
      <c r="C768" s="231" t="s">
        <v>97</v>
      </c>
      <c r="D768" s="401">
        <v>4.0400000000000002E-3</v>
      </c>
      <c r="E768" s="964">
        <f>Insumos!C166</f>
        <v>40.950000000000003</v>
      </c>
      <c r="F768" s="964"/>
      <c r="G768" s="958">
        <f t="shared" ref="G768:G773" si="32">ROUND(D768*E768,2)</f>
        <v>0.17</v>
      </c>
      <c r="H768" s="958"/>
    </row>
    <row r="769" spans="1:10">
      <c r="A769" s="398"/>
      <c r="B769" s="230" t="s">
        <v>1413</v>
      </c>
      <c r="C769" s="231" t="s">
        <v>13</v>
      </c>
      <c r="D769" s="401">
        <v>1.05</v>
      </c>
      <c r="E769" s="964">
        <f>Insumos!C167</f>
        <v>358.0668</v>
      </c>
      <c r="F769" s="964"/>
      <c r="G769" s="958">
        <f t="shared" si="32"/>
        <v>375.97</v>
      </c>
      <c r="H769" s="958"/>
    </row>
    <row r="770" spans="1:10">
      <c r="A770" s="398"/>
      <c r="B770" s="230" t="s">
        <v>638</v>
      </c>
      <c r="C770" s="231" t="s">
        <v>16</v>
      </c>
      <c r="D770" s="401">
        <v>0.7264444444444641</v>
      </c>
      <c r="E770" s="964">
        <f>Insumos!C168</f>
        <v>3.64</v>
      </c>
      <c r="F770" s="964"/>
      <c r="G770" s="958">
        <f t="shared" si="32"/>
        <v>2.64</v>
      </c>
      <c r="H770" s="958"/>
    </row>
    <row r="771" spans="1:10">
      <c r="A771" s="398"/>
      <c r="B771" s="230" t="s">
        <v>605</v>
      </c>
      <c r="C771" s="231" t="s">
        <v>16</v>
      </c>
      <c r="D771" s="401">
        <v>1</v>
      </c>
      <c r="E771" s="964">
        <f>Insumos!C169</f>
        <v>0.50050000000000006</v>
      </c>
      <c r="F771" s="964"/>
      <c r="G771" s="958">
        <f t="shared" si="32"/>
        <v>0.5</v>
      </c>
      <c r="H771" s="958"/>
    </row>
    <row r="772" spans="1:10">
      <c r="A772" s="398"/>
      <c r="B772" s="230" t="s">
        <v>535</v>
      </c>
      <c r="C772" s="231" t="s">
        <v>112</v>
      </c>
      <c r="D772" s="401">
        <v>3</v>
      </c>
      <c r="E772" s="959">
        <f>Insumos!C170</f>
        <v>6.4064000000000005</v>
      </c>
      <c r="F772" s="959"/>
      <c r="G772" s="958">
        <f t="shared" si="32"/>
        <v>19.22</v>
      </c>
      <c r="H772" s="958"/>
    </row>
    <row r="773" spans="1:10">
      <c r="A773" s="398"/>
      <c r="B773" s="230" t="s">
        <v>576</v>
      </c>
      <c r="C773" s="231" t="s">
        <v>112</v>
      </c>
      <c r="D773" s="401">
        <v>2</v>
      </c>
      <c r="E773" s="959">
        <f>Insumos!C171</f>
        <v>8.6722999999999999</v>
      </c>
      <c r="F773" s="959"/>
      <c r="G773" s="958">
        <f t="shared" si="32"/>
        <v>17.34</v>
      </c>
      <c r="H773" s="958"/>
    </row>
    <row r="774" spans="1:10">
      <c r="A774" s="398"/>
      <c r="B774" s="955" t="s">
        <v>536</v>
      </c>
      <c r="C774" s="955"/>
      <c r="D774" s="955"/>
      <c r="E774" s="389"/>
      <c r="F774" s="409"/>
      <c r="G774" s="410"/>
      <c r="H774" s="249">
        <f>SUM(G768:H771)</f>
        <v>379.28000000000003</v>
      </c>
    </row>
    <row r="775" spans="1:10">
      <c r="A775" s="398"/>
      <c r="B775" s="955" t="s">
        <v>537</v>
      </c>
      <c r="C775" s="955"/>
      <c r="D775" s="955"/>
      <c r="E775" s="389"/>
      <c r="F775" s="409"/>
      <c r="G775" s="410"/>
      <c r="H775" s="249">
        <f>SUM(G772:H773)</f>
        <v>36.56</v>
      </c>
    </row>
    <row r="776" spans="1:10">
      <c r="A776" s="398"/>
      <c r="B776" s="955" t="s">
        <v>1937</v>
      </c>
      <c r="C776" s="955"/>
      <c r="D776" s="955"/>
      <c r="E776" s="389"/>
      <c r="F776" s="409"/>
      <c r="G776" s="410"/>
      <c r="H776" s="249">
        <f>SUM(H774:H775)</f>
        <v>415.84000000000003</v>
      </c>
    </row>
    <row r="777" spans="1:10">
      <c r="A777" s="398"/>
      <c r="B777" s="955" t="s">
        <v>538</v>
      </c>
      <c r="C777" s="955"/>
      <c r="D777" s="955"/>
      <c r="E777" s="389"/>
      <c r="F777" s="411" t="s">
        <v>539</v>
      </c>
      <c r="G777" s="410"/>
      <c r="H777" s="249">
        <f>ROUND(H776*F777,2)</f>
        <v>103.79</v>
      </c>
    </row>
    <row r="778" spans="1:10">
      <c r="A778" s="398"/>
      <c r="B778" s="956" t="s">
        <v>540</v>
      </c>
      <c r="C778" s="956"/>
      <c r="D778" s="956"/>
      <c r="E778" s="740"/>
      <c r="F778" s="768"/>
      <c r="G778" s="769"/>
      <c r="H778" s="770">
        <f>SUM(H776:H777)</f>
        <v>519.63</v>
      </c>
    </row>
    <row r="779" spans="1:10" s="579" customFormat="1">
      <c r="A779" s="601"/>
      <c r="B779" s="780"/>
      <c r="C779" s="780"/>
      <c r="D779" s="780"/>
      <c r="E779" s="740"/>
      <c r="F779" s="768"/>
      <c r="G779" s="769"/>
      <c r="H779" s="770"/>
      <c r="I779" s="400"/>
      <c r="J779" s="404"/>
    </row>
    <row r="780" spans="1:10" s="167" customFormat="1">
      <c r="A780" s="756">
        <v>12</v>
      </c>
      <c r="B780" s="975" t="s">
        <v>1667</v>
      </c>
      <c r="C780" s="975"/>
      <c r="D780" s="975"/>
      <c r="E780" s="975"/>
      <c r="F780" s="975"/>
      <c r="G780" s="766"/>
      <c r="H780" s="767"/>
      <c r="I780" s="326"/>
      <c r="J780" s="344"/>
    </row>
    <row r="781" spans="1:10" ht="26.45" customHeight="1">
      <c r="A781" s="403" t="s">
        <v>2352</v>
      </c>
      <c r="B781" s="961" t="s">
        <v>1404</v>
      </c>
      <c r="C781" s="961"/>
      <c r="D781" s="961"/>
      <c r="E781" s="961"/>
      <c r="F781" s="961"/>
      <c r="G781" s="406"/>
      <c r="H781" s="403" t="s">
        <v>13</v>
      </c>
    </row>
    <row r="782" spans="1:10">
      <c r="A782" s="398"/>
      <c r="B782" s="230" t="s">
        <v>549</v>
      </c>
      <c r="C782" s="231" t="s">
        <v>16</v>
      </c>
      <c r="D782" s="401">
        <v>1.8</v>
      </c>
      <c r="E782" s="959">
        <f>Insumos!C1041</f>
        <v>0.50050000000000006</v>
      </c>
      <c r="F782" s="959"/>
      <c r="G782" s="958">
        <f>ROUND(D782*E782,2)</f>
        <v>0.9</v>
      </c>
      <c r="H782" s="958"/>
    </row>
    <row r="783" spans="1:10">
      <c r="A783" s="398"/>
      <c r="B783" s="230" t="s">
        <v>544</v>
      </c>
      <c r="C783" s="231" t="s">
        <v>97</v>
      </c>
      <c r="D783" s="401">
        <v>6.5900000000000004E-3</v>
      </c>
      <c r="E783" s="959">
        <f>Insumos!C1042</f>
        <v>40.950000000000003</v>
      </c>
      <c r="F783" s="959"/>
      <c r="G783" s="958">
        <f>ROUND(D783*E783,2)</f>
        <v>0.27</v>
      </c>
      <c r="H783" s="958"/>
    </row>
    <row r="784" spans="1:10">
      <c r="A784" s="398"/>
      <c r="B784" s="230" t="s">
        <v>535</v>
      </c>
      <c r="C784" s="231" t="s">
        <v>112</v>
      </c>
      <c r="D784" s="401">
        <v>0.13</v>
      </c>
      <c r="E784" s="959">
        <f>Insumos!C1043</f>
        <v>6.4064000000000005</v>
      </c>
      <c r="F784" s="959"/>
      <c r="G784" s="958">
        <f>ROUND(D784*E784,2)</f>
        <v>0.83</v>
      </c>
      <c r="H784" s="958"/>
    </row>
    <row r="785" spans="1:10">
      <c r="A785" s="398"/>
      <c r="B785" s="230" t="s">
        <v>576</v>
      </c>
      <c r="C785" s="231" t="s">
        <v>112</v>
      </c>
      <c r="D785" s="401">
        <v>0.1</v>
      </c>
      <c r="E785" s="959">
        <f>Insumos!C1044</f>
        <v>8.6722999999999999</v>
      </c>
      <c r="F785" s="959"/>
      <c r="G785" s="958">
        <f>ROUND(D785*E785,2)</f>
        <v>0.87</v>
      </c>
      <c r="H785" s="958"/>
    </row>
    <row r="786" spans="1:10">
      <c r="A786" s="398"/>
      <c r="B786" s="955" t="s">
        <v>536</v>
      </c>
      <c r="C786" s="955"/>
      <c r="D786" s="955"/>
      <c r="E786" s="389"/>
      <c r="F786" s="409"/>
      <c r="G786" s="410"/>
      <c r="H786" s="249">
        <f>SUM(G782:H783)</f>
        <v>1.17</v>
      </c>
    </row>
    <row r="787" spans="1:10">
      <c r="A787" s="398"/>
      <c r="B787" s="955" t="s">
        <v>537</v>
      </c>
      <c r="C787" s="955"/>
      <c r="D787" s="955"/>
      <c r="E787" s="389"/>
      <c r="F787" s="409"/>
      <c r="G787" s="410"/>
      <c r="H787" s="249">
        <f>SUM(G784:H785)</f>
        <v>1.7</v>
      </c>
    </row>
    <row r="788" spans="1:10">
      <c r="A788" s="398"/>
      <c r="B788" s="955" t="s">
        <v>1937</v>
      </c>
      <c r="C788" s="955"/>
      <c r="D788" s="955"/>
      <c r="E788" s="389"/>
      <c r="F788" s="409"/>
      <c r="G788" s="410"/>
      <c r="H788" s="249">
        <f>SUM(H786:H787)</f>
        <v>2.87</v>
      </c>
    </row>
    <row r="789" spans="1:10" s="406" customFormat="1" ht="15">
      <c r="A789" s="398"/>
      <c r="B789" s="955" t="s">
        <v>538</v>
      </c>
      <c r="C789" s="955"/>
      <c r="D789" s="955"/>
      <c r="E789" s="389"/>
      <c r="F789" s="411" t="s">
        <v>539</v>
      </c>
      <c r="G789" s="410"/>
      <c r="H789" s="249">
        <f t="shared" ref="H789" si="33">ROUND(H788*F789,2)</f>
        <v>0.72</v>
      </c>
      <c r="I789" s="407"/>
      <c r="J789" s="408"/>
    </row>
    <row r="790" spans="1:10">
      <c r="A790" s="398"/>
      <c r="B790" s="956" t="s">
        <v>540</v>
      </c>
      <c r="C790" s="956"/>
      <c r="D790" s="956"/>
      <c r="E790" s="740"/>
      <c r="F790" s="768"/>
      <c r="G790" s="769"/>
      <c r="H790" s="770">
        <f>SUM(H788:H789)</f>
        <v>3.59</v>
      </c>
    </row>
    <row r="791" spans="1:10" s="579" customFormat="1">
      <c r="A791" s="601"/>
      <c r="B791" s="780"/>
      <c r="C791" s="780"/>
      <c r="D791" s="780"/>
      <c r="E791" s="740"/>
      <c r="F791" s="768"/>
      <c r="G791" s="769"/>
      <c r="H791" s="770"/>
      <c r="I791" s="400"/>
      <c r="J791" s="404"/>
    </row>
    <row r="792" spans="1:10" ht="22.5" customHeight="1">
      <c r="A792" s="403" t="s">
        <v>2353</v>
      </c>
      <c r="B792" s="961" t="s">
        <v>685</v>
      </c>
      <c r="C792" s="961"/>
      <c r="D792" s="961"/>
      <c r="E792" s="961"/>
      <c r="F792" s="961"/>
      <c r="G792" s="406"/>
      <c r="H792" s="403" t="s">
        <v>13</v>
      </c>
    </row>
    <row r="793" spans="1:10">
      <c r="A793" s="398"/>
      <c r="B793" s="230" t="s">
        <v>675</v>
      </c>
      <c r="C793" s="231" t="s">
        <v>112</v>
      </c>
      <c r="D793" s="401">
        <v>1.4E-2</v>
      </c>
      <c r="E793" s="964">
        <f>Insumos!C1045</f>
        <v>2.0474999999999999</v>
      </c>
      <c r="F793" s="964"/>
      <c r="G793" s="958">
        <f t="shared" ref="G793:G798" si="34">ROUND(D793*E793,2)</f>
        <v>0.03</v>
      </c>
      <c r="H793" s="958"/>
    </row>
    <row r="794" spans="1:10">
      <c r="A794" s="398"/>
      <c r="B794" s="230" t="s">
        <v>549</v>
      </c>
      <c r="C794" s="231" t="s">
        <v>16</v>
      </c>
      <c r="D794" s="401">
        <v>2.66</v>
      </c>
      <c r="E794" s="964">
        <f>Insumos!C1046</f>
        <v>0.50050000000000006</v>
      </c>
      <c r="F794" s="964"/>
      <c r="G794" s="958">
        <f t="shared" si="34"/>
        <v>1.33</v>
      </c>
      <c r="H794" s="958"/>
    </row>
    <row r="795" spans="1:10">
      <c r="A795" s="398"/>
      <c r="B795" s="230" t="s">
        <v>643</v>
      </c>
      <c r="C795" s="231" t="s">
        <v>16</v>
      </c>
      <c r="D795" s="401">
        <v>4.3402853088719491</v>
      </c>
      <c r="E795" s="964">
        <f>Insumos!C1047</f>
        <v>1.0465</v>
      </c>
      <c r="F795" s="964"/>
      <c r="G795" s="958">
        <f t="shared" si="34"/>
        <v>4.54</v>
      </c>
      <c r="H795" s="958"/>
    </row>
    <row r="796" spans="1:10">
      <c r="A796" s="398"/>
      <c r="B796" s="230" t="s">
        <v>618</v>
      </c>
      <c r="C796" s="231" t="s">
        <v>97</v>
      </c>
      <c r="D796" s="401">
        <v>2.4199999999999999E-2</v>
      </c>
      <c r="E796" s="964">
        <f>Insumos!C1048</f>
        <v>31.85</v>
      </c>
      <c r="F796" s="964"/>
      <c r="G796" s="958">
        <f t="shared" si="34"/>
        <v>0.77</v>
      </c>
      <c r="H796" s="958"/>
    </row>
    <row r="797" spans="1:10">
      <c r="A797" s="398"/>
      <c r="B797" s="230" t="s">
        <v>535</v>
      </c>
      <c r="C797" s="231" t="s">
        <v>112</v>
      </c>
      <c r="D797" s="401">
        <v>0.72</v>
      </c>
      <c r="E797" s="964">
        <f>Insumos!C1049</f>
        <v>6.4064000000000005</v>
      </c>
      <c r="F797" s="964"/>
      <c r="G797" s="958">
        <f t="shared" si="34"/>
        <v>4.6100000000000003</v>
      </c>
      <c r="H797" s="958"/>
    </row>
    <row r="798" spans="1:10">
      <c r="A798" s="398"/>
      <c r="B798" s="230" t="s">
        <v>576</v>
      </c>
      <c r="C798" s="231" t="s">
        <v>112</v>
      </c>
      <c r="D798" s="401">
        <v>0.6</v>
      </c>
      <c r="E798" s="964">
        <f>Insumos!C1050</f>
        <v>8.6722999999999999</v>
      </c>
      <c r="F798" s="964"/>
      <c r="G798" s="958">
        <f t="shared" si="34"/>
        <v>5.2</v>
      </c>
      <c r="H798" s="958"/>
    </row>
    <row r="799" spans="1:10">
      <c r="A799" s="398"/>
      <c r="B799" s="955" t="s">
        <v>536</v>
      </c>
      <c r="C799" s="955"/>
      <c r="D799" s="955"/>
      <c r="E799" s="389"/>
      <c r="F799" s="409"/>
      <c r="G799" s="410"/>
      <c r="H799" s="249">
        <f>SUM(G793:H796)</f>
        <v>6.67</v>
      </c>
    </row>
    <row r="800" spans="1:10">
      <c r="A800" s="398"/>
      <c r="B800" s="955" t="s">
        <v>537</v>
      </c>
      <c r="C800" s="955"/>
      <c r="D800" s="955"/>
      <c r="E800" s="389"/>
      <c r="F800" s="409"/>
      <c r="G800" s="410"/>
      <c r="H800" s="249">
        <f>SUM(G797:H798)</f>
        <v>9.81</v>
      </c>
    </row>
    <row r="801" spans="1:10">
      <c r="A801" s="398"/>
      <c r="B801" s="955" t="s">
        <v>1937</v>
      </c>
      <c r="C801" s="955"/>
      <c r="D801" s="955"/>
      <c r="E801" s="389"/>
      <c r="F801" s="409"/>
      <c r="G801" s="410"/>
      <c r="H801" s="249">
        <f>SUM(H799:H800)</f>
        <v>16.48</v>
      </c>
    </row>
    <row r="802" spans="1:10">
      <c r="A802" s="398"/>
      <c r="B802" s="955" t="s">
        <v>538</v>
      </c>
      <c r="C802" s="955"/>
      <c r="D802" s="955"/>
      <c r="E802" s="389"/>
      <c r="F802" s="411" t="s">
        <v>539</v>
      </c>
      <c r="G802" s="410"/>
      <c r="H802" s="249">
        <f t="shared" ref="H802" si="35">ROUND(H801*F802,2)</f>
        <v>4.1100000000000003</v>
      </c>
    </row>
    <row r="803" spans="1:10">
      <c r="A803" s="398"/>
      <c r="B803" s="956" t="s">
        <v>540</v>
      </c>
      <c r="C803" s="956"/>
      <c r="D803" s="956"/>
      <c r="E803" s="740"/>
      <c r="F803" s="768"/>
      <c r="G803" s="769"/>
      <c r="H803" s="770">
        <f>SUM(H801:H802)</f>
        <v>20.59</v>
      </c>
    </row>
    <row r="804" spans="1:10" s="579" customFormat="1">
      <c r="A804" s="601"/>
      <c r="B804" s="780"/>
      <c r="C804" s="780"/>
      <c r="D804" s="780"/>
      <c r="E804" s="740"/>
      <c r="F804" s="768"/>
      <c r="G804" s="769"/>
      <c r="H804" s="770"/>
      <c r="I804" s="400"/>
      <c r="J804" s="404"/>
    </row>
    <row r="805" spans="1:10" ht="27.6" customHeight="1">
      <c r="A805" s="403" t="s">
        <v>2354</v>
      </c>
      <c r="B805" s="960" t="s">
        <v>1369</v>
      </c>
      <c r="C805" s="960"/>
      <c r="D805" s="960"/>
      <c r="E805" s="960"/>
      <c r="F805" s="960"/>
      <c r="G805" s="406"/>
      <c r="H805" s="403" t="s">
        <v>13</v>
      </c>
    </row>
    <row r="806" spans="1:10" ht="22.5">
      <c r="A806" s="398"/>
      <c r="B806" s="230" t="s">
        <v>1370</v>
      </c>
      <c r="C806" s="231" t="s">
        <v>97</v>
      </c>
      <c r="D806" s="437">
        <v>5.0633928571428587E-2</v>
      </c>
      <c r="E806" s="959">
        <f>Insumos!$C$1051</f>
        <v>296.66000000000003</v>
      </c>
      <c r="F806" s="959"/>
      <c r="G806" s="958">
        <f>ROUND(D806*E806,2)</f>
        <v>15.02</v>
      </c>
      <c r="H806" s="958"/>
    </row>
    <row r="807" spans="1:10">
      <c r="A807" s="398"/>
      <c r="B807" s="230" t="s">
        <v>535</v>
      </c>
      <c r="C807" s="231" t="s">
        <v>112</v>
      </c>
      <c r="D807" s="437">
        <v>0.79840000000000033</v>
      </c>
      <c r="E807" s="959">
        <f>Insumos!$C$1052</f>
        <v>6.4064000000000005</v>
      </c>
      <c r="F807" s="959"/>
      <c r="G807" s="958">
        <f>ROUND(D807*E807,2)</f>
        <v>5.1100000000000003</v>
      </c>
      <c r="H807" s="958"/>
    </row>
    <row r="808" spans="1:10">
      <c r="A808" s="398"/>
      <c r="B808" s="230" t="s">
        <v>576</v>
      </c>
      <c r="C808" s="231" t="s">
        <v>112</v>
      </c>
      <c r="D808" s="437">
        <v>0.8</v>
      </c>
      <c r="E808" s="959">
        <f>Insumos!$C$1053</f>
        <v>8.6722999999999999</v>
      </c>
      <c r="F808" s="959"/>
      <c r="G808" s="958">
        <f>ROUND(D808*E808,2)</f>
        <v>6.94</v>
      </c>
      <c r="H808" s="958"/>
    </row>
    <row r="809" spans="1:10">
      <c r="A809" s="398"/>
      <c r="B809" s="955" t="s">
        <v>536</v>
      </c>
      <c r="C809" s="955"/>
      <c r="D809" s="955"/>
      <c r="E809" s="389"/>
      <c r="F809" s="409"/>
      <c r="G809" s="410"/>
      <c r="H809" s="249">
        <f>SUM(G806:H806)</f>
        <v>15.02</v>
      </c>
    </row>
    <row r="810" spans="1:10">
      <c r="A810" s="398"/>
      <c r="B810" s="955" t="s">
        <v>537</v>
      </c>
      <c r="C810" s="955"/>
      <c r="D810" s="955"/>
      <c r="E810" s="389"/>
      <c r="F810" s="409"/>
      <c r="G810" s="410"/>
      <c r="H810" s="249">
        <f>SUM(G807:H808)</f>
        <v>12.05</v>
      </c>
    </row>
    <row r="811" spans="1:10" s="406" customFormat="1" ht="15">
      <c r="A811" s="398"/>
      <c r="B811" s="955" t="s">
        <v>1937</v>
      </c>
      <c r="C811" s="955"/>
      <c r="D811" s="955"/>
      <c r="E811" s="389"/>
      <c r="F811" s="409"/>
      <c r="G811" s="410"/>
      <c r="H811" s="249">
        <f>SUM(H809:H810)</f>
        <v>27.07</v>
      </c>
      <c r="I811" s="407"/>
      <c r="J811" s="408"/>
    </row>
    <row r="812" spans="1:10">
      <c r="A812" s="398"/>
      <c r="B812" s="955" t="s">
        <v>538</v>
      </c>
      <c r="C812" s="955"/>
      <c r="D812" s="955"/>
      <c r="E812" s="389"/>
      <c r="F812" s="411" t="s">
        <v>539</v>
      </c>
      <c r="G812" s="410"/>
      <c r="H812" s="249">
        <f t="shared" ref="H812" si="36">ROUND(H811*F812,2)</f>
        <v>6.76</v>
      </c>
    </row>
    <row r="813" spans="1:10">
      <c r="A813" s="398"/>
      <c r="B813" s="956" t="s">
        <v>540</v>
      </c>
      <c r="C813" s="956"/>
      <c r="D813" s="956"/>
      <c r="E813" s="740"/>
      <c r="F813" s="768"/>
      <c r="G813" s="769"/>
      <c r="H813" s="770">
        <f>SUM(H811:H812)</f>
        <v>33.83</v>
      </c>
    </row>
    <row r="814" spans="1:10" s="579" customFormat="1">
      <c r="A814" s="601"/>
      <c r="B814" s="780"/>
      <c r="C814" s="780"/>
      <c r="D814" s="780"/>
      <c r="E814" s="740"/>
      <c r="F814" s="768"/>
      <c r="G814" s="769"/>
      <c r="H814" s="770"/>
      <c r="I814" s="400"/>
      <c r="J814" s="404"/>
    </row>
    <row r="815" spans="1:10" ht="28.15" customHeight="1">
      <c r="A815" s="403" t="s">
        <v>2355</v>
      </c>
      <c r="B815" s="961" t="s">
        <v>494</v>
      </c>
      <c r="C815" s="961"/>
      <c r="D815" s="961"/>
      <c r="E815" s="961"/>
      <c r="F815" s="961"/>
      <c r="G815" s="406"/>
      <c r="H815" s="403" t="s">
        <v>13</v>
      </c>
    </row>
    <row r="816" spans="1:10">
      <c r="A816" s="398"/>
      <c r="B816" s="230" t="s">
        <v>691</v>
      </c>
      <c r="C816" s="231" t="s">
        <v>16</v>
      </c>
      <c r="D816" s="436">
        <v>4.5</v>
      </c>
      <c r="E816" s="959">
        <f>Insumos!C1054</f>
        <v>0.58240000000000003</v>
      </c>
      <c r="F816" s="959"/>
      <c r="G816" s="958">
        <f>ROUND(D816*E816,2)</f>
        <v>2.62</v>
      </c>
      <c r="H816" s="958"/>
    </row>
    <row r="817" spans="1:10">
      <c r="A817" s="398"/>
      <c r="B817" s="230" t="s">
        <v>638</v>
      </c>
      <c r="C817" s="231" t="s">
        <v>16</v>
      </c>
      <c r="D817" s="436">
        <v>0.44</v>
      </c>
      <c r="E817" s="959">
        <f>Insumos!C1055</f>
        <v>3.64</v>
      </c>
      <c r="F817" s="959"/>
      <c r="G817" s="958">
        <f>ROUND(D817*E817,2)</f>
        <v>1.6</v>
      </c>
      <c r="H817" s="958"/>
    </row>
    <row r="818" spans="1:10">
      <c r="A818" s="398"/>
      <c r="B818" s="230" t="s">
        <v>692</v>
      </c>
      <c r="C818" s="231" t="s">
        <v>13</v>
      </c>
      <c r="D818" s="436">
        <v>1.05</v>
      </c>
      <c r="E818" s="959">
        <f>Insumos!C1056</f>
        <v>63.7</v>
      </c>
      <c r="F818" s="959"/>
      <c r="G818" s="958">
        <f>ROUND(D818*E818,2)</f>
        <v>66.89</v>
      </c>
      <c r="H818" s="958"/>
    </row>
    <row r="819" spans="1:10">
      <c r="A819" s="398"/>
      <c r="B819" s="230" t="s">
        <v>515</v>
      </c>
      <c r="C819" s="231" t="s">
        <v>112</v>
      </c>
      <c r="D819" s="436">
        <v>0.63880000000000003</v>
      </c>
      <c r="E819" s="959">
        <f>Insumos!C1057</f>
        <v>7.8806000000000003</v>
      </c>
      <c r="F819" s="959"/>
      <c r="G819" s="958">
        <f>ROUND(D819*E819,2)</f>
        <v>5.03</v>
      </c>
      <c r="H819" s="958"/>
    </row>
    <row r="820" spans="1:10" s="406" customFormat="1" ht="15">
      <c r="A820" s="398"/>
      <c r="B820" s="230" t="s">
        <v>535</v>
      </c>
      <c r="C820" s="231" t="s">
        <v>112</v>
      </c>
      <c r="D820" s="436">
        <v>1.0443</v>
      </c>
      <c r="E820" s="959">
        <f>Insumos!C1058</f>
        <v>6.4064000000000005</v>
      </c>
      <c r="F820" s="959"/>
      <c r="G820" s="958">
        <f>ROUND(D820*E820,2)</f>
        <v>6.69</v>
      </c>
      <c r="H820" s="958"/>
      <c r="I820" s="407"/>
      <c r="J820" s="408"/>
    </row>
    <row r="821" spans="1:10">
      <c r="A821" s="398"/>
      <c r="B821" s="955" t="s">
        <v>536</v>
      </c>
      <c r="C821" s="955"/>
      <c r="D821" s="955"/>
      <c r="E821" s="389"/>
      <c r="F821" s="409"/>
      <c r="G821" s="410"/>
      <c r="H821" s="249">
        <f>SUM(G816:H818)</f>
        <v>71.11</v>
      </c>
    </row>
    <row r="822" spans="1:10">
      <c r="A822" s="398"/>
      <c r="B822" s="955" t="s">
        <v>537</v>
      </c>
      <c r="C822" s="955"/>
      <c r="D822" s="955"/>
      <c r="E822" s="389"/>
      <c r="F822" s="409"/>
      <c r="G822" s="410"/>
      <c r="H822" s="249">
        <f>SUM(G819:H820)</f>
        <v>11.72</v>
      </c>
    </row>
    <row r="823" spans="1:10">
      <c r="A823" s="398"/>
      <c r="B823" s="955" t="s">
        <v>1937</v>
      </c>
      <c r="C823" s="955"/>
      <c r="D823" s="955"/>
      <c r="E823" s="389"/>
      <c r="F823" s="409"/>
      <c r="G823" s="410"/>
      <c r="H823" s="249">
        <f>SUM(H821:H822)</f>
        <v>82.83</v>
      </c>
    </row>
    <row r="824" spans="1:10">
      <c r="A824" s="398"/>
      <c r="B824" s="955" t="s">
        <v>538</v>
      </c>
      <c r="C824" s="955"/>
      <c r="D824" s="955"/>
      <c r="E824" s="389"/>
      <c r="F824" s="411" t="s">
        <v>539</v>
      </c>
      <c r="G824" s="410"/>
      <c r="H824" s="249">
        <f t="shared" ref="H824" si="37">ROUND(H823*F824,2)</f>
        <v>20.67</v>
      </c>
    </row>
    <row r="825" spans="1:10">
      <c r="A825" s="398"/>
      <c r="B825" s="956" t="s">
        <v>540</v>
      </c>
      <c r="C825" s="956"/>
      <c r="D825" s="956"/>
      <c r="E825" s="740"/>
      <c r="F825" s="768"/>
      <c r="G825" s="769"/>
      <c r="H825" s="770">
        <f>SUM(H823:H824)</f>
        <v>103.5</v>
      </c>
    </row>
    <row r="826" spans="1:10" s="579" customFormat="1">
      <c r="A826" s="601"/>
      <c r="B826" s="780"/>
      <c r="C826" s="780"/>
      <c r="D826" s="780"/>
      <c r="E826" s="740"/>
      <c r="F826" s="768"/>
      <c r="G826" s="769"/>
      <c r="H826" s="770"/>
      <c r="I826" s="400"/>
      <c r="J826" s="404"/>
    </row>
    <row r="827" spans="1:10" ht="15">
      <c r="A827" s="403" t="s">
        <v>359</v>
      </c>
      <c r="B827" s="961" t="s">
        <v>1043</v>
      </c>
      <c r="C827" s="961"/>
      <c r="D827" s="961"/>
      <c r="E827" s="961"/>
      <c r="F827" s="961"/>
      <c r="G827" s="406"/>
      <c r="H827" s="403" t="s">
        <v>15</v>
      </c>
    </row>
    <row r="828" spans="1:10" s="406" customFormat="1" ht="15">
      <c r="A828" s="398"/>
      <c r="B828" s="230" t="s">
        <v>1044</v>
      </c>
      <c r="C828" s="231" t="s">
        <v>13</v>
      </c>
      <c r="D828" s="401">
        <v>0.6</v>
      </c>
      <c r="E828" s="959">
        <f>Insumos!C1059</f>
        <v>290.017</v>
      </c>
      <c r="F828" s="959"/>
      <c r="G828" s="958">
        <f>ROUND(D828*E828,2)</f>
        <v>174.01</v>
      </c>
      <c r="H828" s="958"/>
      <c r="I828" s="407"/>
      <c r="J828" s="408"/>
    </row>
    <row r="829" spans="1:10">
      <c r="A829" s="398"/>
      <c r="B829" s="230" t="s">
        <v>1045</v>
      </c>
      <c r="C829" s="231" t="s">
        <v>15</v>
      </c>
      <c r="D829" s="401">
        <v>1</v>
      </c>
      <c r="E829" s="959">
        <f>Insumos!C1060</f>
        <v>46.901400000000002</v>
      </c>
      <c r="F829" s="959"/>
      <c r="G829" s="958">
        <f>ROUND(D829*E829,2)</f>
        <v>46.9</v>
      </c>
      <c r="H829" s="958"/>
    </row>
    <row r="830" spans="1:10">
      <c r="A830" s="398"/>
      <c r="B830" s="955" t="s">
        <v>536</v>
      </c>
      <c r="C830" s="955"/>
      <c r="D830" s="955"/>
      <c r="E830" s="389"/>
      <c r="F830" s="409"/>
      <c r="G830" s="410"/>
      <c r="H830" s="249">
        <f>SUM(G828:H829)</f>
        <v>220.91</v>
      </c>
    </row>
    <row r="831" spans="1:10">
      <c r="A831" s="398"/>
      <c r="B831" s="955" t="s">
        <v>537</v>
      </c>
      <c r="C831" s="955"/>
      <c r="D831" s="955"/>
      <c r="E831" s="389"/>
      <c r="F831" s="409"/>
      <c r="G831" s="410"/>
      <c r="H831" s="249">
        <v>0</v>
      </c>
    </row>
    <row r="832" spans="1:10">
      <c r="A832" s="398"/>
      <c r="B832" s="955" t="s">
        <v>1937</v>
      </c>
      <c r="C832" s="955"/>
      <c r="D832" s="955"/>
      <c r="E832" s="389"/>
      <c r="F832" s="409"/>
      <c r="G832" s="410"/>
      <c r="H832" s="249">
        <f>SUM(H830:H831)</f>
        <v>220.91</v>
      </c>
    </row>
    <row r="833" spans="1:10">
      <c r="A833" s="398"/>
      <c r="B833" s="955" t="s">
        <v>538</v>
      </c>
      <c r="C833" s="955"/>
      <c r="D833" s="955"/>
      <c r="E833" s="389"/>
      <c r="F833" s="411" t="s">
        <v>539</v>
      </c>
      <c r="G833" s="410"/>
      <c r="H833" s="249">
        <f t="shared" ref="H833" si="38">ROUND(H832*F833,2)</f>
        <v>55.14</v>
      </c>
    </row>
    <row r="834" spans="1:10">
      <c r="A834" s="398"/>
      <c r="B834" s="956" t="s">
        <v>540</v>
      </c>
      <c r="C834" s="956"/>
      <c r="D834" s="956"/>
      <c r="E834" s="740"/>
      <c r="F834" s="768"/>
      <c r="G834" s="769"/>
      <c r="H834" s="770">
        <f>SUM(H832:H833)</f>
        <v>276.05</v>
      </c>
    </row>
    <row r="835" spans="1:10" s="579" customFormat="1">
      <c r="A835" s="601"/>
      <c r="B835" s="780"/>
      <c r="C835" s="780"/>
      <c r="D835" s="780"/>
      <c r="E835" s="740"/>
      <c r="F835" s="768"/>
      <c r="G835" s="769"/>
      <c r="H835" s="770"/>
      <c r="I835" s="400"/>
      <c r="J835" s="404"/>
    </row>
    <row r="836" spans="1:10" s="406" customFormat="1" ht="15">
      <c r="A836" s="403" t="s">
        <v>2356</v>
      </c>
      <c r="B836" s="961" t="s">
        <v>1557</v>
      </c>
      <c r="C836" s="961"/>
      <c r="D836" s="961"/>
      <c r="E836" s="961"/>
      <c r="F836" s="961"/>
      <c r="H836" s="403" t="s">
        <v>13</v>
      </c>
      <c r="I836" s="407"/>
      <c r="J836" s="408"/>
    </row>
    <row r="837" spans="1:10">
      <c r="A837" s="398"/>
      <c r="B837" s="230" t="s">
        <v>618</v>
      </c>
      <c r="C837" s="231" t="s">
        <v>97</v>
      </c>
      <c r="D837" s="401">
        <v>1.9E-3</v>
      </c>
      <c r="E837" s="959">
        <f>Insumos!C1061</f>
        <v>31.85</v>
      </c>
      <c r="F837" s="959"/>
      <c r="G837" s="958">
        <f t="shared" ref="G837:G843" si="39">ROUND(D837*E837,2)</f>
        <v>0.06</v>
      </c>
      <c r="H837" s="958"/>
    </row>
    <row r="838" spans="1:10">
      <c r="A838" s="398"/>
      <c r="B838" s="230" t="s">
        <v>643</v>
      </c>
      <c r="C838" s="231" t="s">
        <v>16</v>
      </c>
      <c r="D838" s="401">
        <v>0.13</v>
      </c>
      <c r="E838" s="959">
        <f>Insumos!C1062</f>
        <v>1.0465</v>
      </c>
      <c r="F838" s="959"/>
      <c r="G838" s="958">
        <f t="shared" si="39"/>
        <v>0.14000000000000001</v>
      </c>
      <c r="H838" s="958"/>
    </row>
    <row r="839" spans="1:10">
      <c r="A839" s="398"/>
      <c r="B839" s="230" t="s">
        <v>549</v>
      </c>
      <c r="C839" s="231" t="s">
        <v>16</v>
      </c>
      <c r="D839" s="401">
        <v>0.7</v>
      </c>
      <c r="E839" s="959">
        <f>Insumos!C1063</f>
        <v>0.50050000000000006</v>
      </c>
      <c r="F839" s="959"/>
      <c r="G839" s="958">
        <f t="shared" si="39"/>
        <v>0.35</v>
      </c>
      <c r="H839" s="958"/>
    </row>
    <row r="840" spans="1:10">
      <c r="A840" s="398"/>
      <c r="B840" s="230" t="s">
        <v>638</v>
      </c>
      <c r="C840" s="231" t="s">
        <v>16</v>
      </c>
      <c r="D840" s="401">
        <v>1.8800000000000001E-2</v>
      </c>
      <c r="E840" s="959">
        <f>Insumos!C1064</f>
        <v>3.64</v>
      </c>
      <c r="F840" s="959"/>
      <c r="G840" s="958">
        <f t="shared" si="39"/>
        <v>7.0000000000000007E-2</v>
      </c>
      <c r="H840" s="958"/>
    </row>
    <row r="841" spans="1:10">
      <c r="A841" s="398"/>
      <c r="B841" s="230" t="s">
        <v>1416</v>
      </c>
      <c r="C841" s="231" t="s">
        <v>13</v>
      </c>
      <c r="D841" s="401">
        <v>1</v>
      </c>
      <c r="E841" s="959">
        <f>Insumos!C1065</f>
        <v>218.41820000000001</v>
      </c>
      <c r="F841" s="959"/>
      <c r="G841" s="958">
        <f t="shared" si="39"/>
        <v>218.42</v>
      </c>
      <c r="H841" s="958"/>
    </row>
    <row r="842" spans="1:10">
      <c r="A842" s="398"/>
      <c r="B842" s="230" t="s">
        <v>535</v>
      </c>
      <c r="C842" s="231" t="s">
        <v>112</v>
      </c>
      <c r="D842" s="401">
        <v>0.04</v>
      </c>
      <c r="E842" s="959">
        <f>Insumos!C1066</f>
        <v>6.4064000000000005</v>
      </c>
      <c r="F842" s="959"/>
      <c r="G842" s="958">
        <f t="shared" si="39"/>
        <v>0.26</v>
      </c>
      <c r="H842" s="958"/>
    </row>
    <row r="843" spans="1:10">
      <c r="A843" s="398"/>
      <c r="B843" s="230" t="s">
        <v>576</v>
      </c>
      <c r="C843" s="231" t="s">
        <v>112</v>
      </c>
      <c r="D843" s="401">
        <v>0.04</v>
      </c>
      <c r="E843" s="959">
        <f>Insumos!C1067</f>
        <v>8.6722999999999999</v>
      </c>
      <c r="F843" s="959"/>
      <c r="G843" s="958">
        <f t="shared" si="39"/>
        <v>0.35</v>
      </c>
      <c r="H843" s="958"/>
    </row>
    <row r="844" spans="1:10">
      <c r="A844" s="398"/>
      <c r="B844" s="955" t="s">
        <v>536</v>
      </c>
      <c r="C844" s="955"/>
      <c r="D844" s="955"/>
      <c r="E844" s="389"/>
      <c r="F844" s="409"/>
      <c r="G844" s="410"/>
      <c r="H844" s="249">
        <f>SUM(G837:H841)</f>
        <v>219.04</v>
      </c>
    </row>
    <row r="845" spans="1:10" s="406" customFormat="1" ht="15">
      <c r="A845" s="398"/>
      <c r="B845" s="955" t="s">
        <v>537</v>
      </c>
      <c r="C845" s="955"/>
      <c r="D845" s="955"/>
      <c r="E845" s="389"/>
      <c r="F845" s="409"/>
      <c r="G845" s="410"/>
      <c r="H845" s="249">
        <f>SUM(G842:H843)</f>
        <v>0.61</v>
      </c>
      <c r="I845" s="407"/>
      <c r="J845" s="408"/>
    </row>
    <row r="846" spans="1:10">
      <c r="A846" s="398"/>
      <c r="B846" s="955" t="s">
        <v>1937</v>
      </c>
      <c r="C846" s="955"/>
      <c r="D846" s="955"/>
      <c r="E846" s="389"/>
      <c r="F846" s="409"/>
      <c r="G846" s="410"/>
      <c r="H846" s="249">
        <f>SUM(H844:H845)</f>
        <v>219.65</v>
      </c>
    </row>
    <row r="847" spans="1:10">
      <c r="A847" s="398"/>
      <c r="B847" s="955" t="s">
        <v>538</v>
      </c>
      <c r="C847" s="955"/>
      <c r="D847" s="955"/>
      <c r="E847" s="389"/>
      <c r="F847" s="411" t="s">
        <v>539</v>
      </c>
      <c r="G847" s="410"/>
      <c r="H847" s="249">
        <f t="shared" ref="H847" si="40">ROUND(H846*F847,2)</f>
        <v>54.82</v>
      </c>
    </row>
    <row r="848" spans="1:10">
      <c r="A848" s="398"/>
      <c r="B848" s="956" t="s">
        <v>540</v>
      </c>
      <c r="C848" s="956"/>
      <c r="D848" s="956"/>
      <c r="E848" s="740"/>
      <c r="F848" s="768"/>
      <c r="G848" s="769"/>
      <c r="H848" s="770">
        <f>SUM(H846:H847)</f>
        <v>274.47000000000003</v>
      </c>
    </row>
    <row r="849" spans="1:10" s="579" customFormat="1">
      <c r="A849" s="601"/>
      <c r="B849" s="780"/>
      <c r="C849" s="780"/>
      <c r="D849" s="780"/>
      <c r="E849" s="740"/>
      <c r="F849" s="768"/>
      <c r="G849" s="769"/>
      <c r="H849" s="770"/>
      <c r="I849" s="400"/>
      <c r="J849" s="404"/>
    </row>
    <row r="850" spans="1:10" ht="15">
      <c r="A850" s="444" t="s">
        <v>2357</v>
      </c>
      <c r="B850" s="960" t="s">
        <v>1429</v>
      </c>
      <c r="C850" s="960"/>
      <c r="D850" s="960"/>
      <c r="E850" s="960"/>
      <c r="F850" s="960"/>
      <c r="G850" s="445"/>
      <c r="H850" s="444" t="s">
        <v>13</v>
      </c>
    </row>
    <row r="851" spans="1:10">
      <c r="A851" s="447"/>
      <c r="B851" s="449" t="s">
        <v>1432</v>
      </c>
      <c r="C851" s="448" t="s">
        <v>13</v>
      </c>
      <c r="D851" s="457">
        <v>1</v>
      </c>
      <c r="E851" s="974">
        <f>Insumos!C1068</f>
        <v>56.347200000000001</v>
      </c>
      <c r="F851" s="974"/>
      <c r="G851" s="976">
        <f>ROUND(D851*E851,2)</f>
        <v>56.35</v>
      </c>
      <c r="H851" s="976"/>
    </row>
    <row r="852" spans="1:10">
      <c r="A852" s="447"/>
      <c r="B852" s="449" t="s">
        <v>1433</v>
      </c>
      <c r="C852" s="448" t="s">
        <v>112</v>
      </c>
      <c r="D852" s="457">
        <v>9</v>
      </c>
      <c r="E852" s="974">
        <f>Insumos!C1069</f>
        <v>18.427500000000002</v>
      </c>
      <c r="F852" s="974"/>
      <c r="G852" s="976">
        <f>ROUND(D852*E852,2)</f>
        <v>165.85</v>
      </c>
      <c r="H852" s="976"/>
    </row>
    <row r="853" spans="1:10">
      <c r="A853" s="447"/>
      <c r="B853" s="970" t="s">
        <v>536</v>
      </c>
      <c r="C853" s="970"/>
      <c r="D853" s="970"/>
      <c r="E853" s="450"/>
      <c r="F853" s="451"/>
      <c r="G853" s="452"/>
      <c r="H853" s="453">
        <f>SUM(G851:H851)</f>
        <v>56.35</v>
      </c>
    </row>
    <row r="854" spans="1:10">
      <c r="A854" s="447"/>
      <c r="B854" s="970" t="s">
        <v>537</v>
      </c>
      <c r="C854" s="970"/>
      <c r="D854" s="970"/>
      <c r="E854" s="450"/>
      <c r="F854" s="451"/>
      <c r="G854" s="452"/>
      <c r="H854" s="453">
        <f>SUM(G852:H852)</f>
        <v>165.85</v>
      </c>
    </row>
    <row r="855" spans="1:10" s="406" customFormat="1" ht="15">
      <c r="A855" s="447"/>
      <c r="B855" s="970" t="s">
        <v>1937</v>
      </c>
      <c r="C855" s="970"/>
      <c r="D855" s="970"/>
      <c r="E855" s="450"/>
      <c r="F855" s="451"/>
      <c r="G855" s="452"/>
      <c r="H855" s="453">
        <f>SUM(H853:H854)</f>
        <v>222.2</v>
      </c>
      <c r="I855" s="407"/>
      <c r="J855" s="408"/>
    </row>
    <row r="856" spans="1:10">
      <c r="A856" s="447"/>
      <c r="B856" s="970" t="s">
        <v>538</v>
      </c>
      <c r="C856" s="970"/>
      <c r="D856" s="970"/>
      <c r="E856" s="450"/>
      <c r="F856" s="454" t="s">
        <v>539</v>
      </c>
      <c r="G856" s="452"/>
      <c r="H856" s="453">
        <f t="shared" ref="H856" si="41">ROUND(H855*F856,2)</f>
        <v>55.46</v>
      </c>
    </row>
    <row r="857" spans="1:10">
      <c r="A857" s="447"/>
      <c r="B857" s="972" t="s">
        <v>540</v>
      </c>
      <c r="C857" s="972"/>
      <c r="D857" s="972"/>
      <c r="E857" s="781"/>
      <c r="F857" s="782"/>
      <c r="G857" s="783"/>
      <c r="H857" s="784">
        <f>SUM(H855:H856)</f>
        <v>277.65999999999997</v>
      </c>
    </row>
    <row r="858" spans="1:10" s="579" customFormat="1">
      <c r="A858" s="447"/>
      <c r="B858" s="797"/>
      <c r="C858" s="797"/>
      <c r="D858" s="797"/>
      <c r="E858" s="781"/>
      <c r="F858" s="782"/>
      <c r="G858" s="783"/>
      <c r="H858" s="784"/>
      <c r="I858" s="400"/>
      <c r="J858" s="404"/>
    </row>
    <row r="859" spans="1:10" s="167" customFormat="1">
      <c r="A859" s="756">
        <v>13</v>
      </c>
      <c r="B859" s="975" t="s">
        <v>1230</v>
      </c>
      <c r="C859" s="975"/>
      <c r="D859" s="975"/>
      <c r="E859" s="975"/>
      <c r="F859" s="975"/>
      <c r="G859" s="766"/>
      <c r="H859" s="767"/>
      <c r="I859" s="326"/>
      <c r="J859" s="344"/>
    </row>
    <row r="860" spans="1:10" ht="15">
      <c r="A860" s="403" t="s">
        <v>2358</v>
      </c>
      <c r="B860" s="961" t="s">
        <v>1594</v>
      </c>
      <c r="C860" s="961"/>
      <c r="D860" s="961"/>
      <c r="E860" s="961"/>
      <c r="F860" s="961"/>
      <c r="G860" s="406"/>
      <c r="H860" s="403" t="s">
        <v>13</v>
      </c>
    </row>
    <row r="861" spans="1:10">
      <c r="A861" s="398"/>
      <c r="B861" s="230" t="s">
        <v>549</v>
      </c>
      <c r="C861" s="231" t="s">
        <v>16</v>
      </c>
      <c r="D861" s="436">
        <v>2.3650000000000002</v>
      </c>
      <c r="E861" s="964">
        <f>Insumos!C767</f>
        <v>0.50050000000000006</v>
      </c>
      <c r="F861" s="964"/>
      <c r="G861" s="958">
        <f>ROUND(D861*E861,2)</f>
        <v>1.18</v>
      </c>
      <c r="H861" s="958"/>
    </row>
    <row r="862" spans="1:10">
      <c r="A862" s="398"/>
      <c r="B862" s="230" t="s">
        <v>618</v>
      </c>
      <c r="C862" s="231" t="s">
        <v>97</v>
      </c>
      <c r="D862" s="436">
        <v>7.1399999999999996E-3</v>
      </c>
      <c r="E862" s="964">
        <f>Insumos!C1048</f>
        <v>31.85</v>
      </c>
      <c r="F862" s="964"/>
      <c r="G862" s="958">
        <f>ROUND(D862*E862,2)</f>
        <v>0.23</v>
      </c>
      <c r="H862" s="958"/>
    </row>
    <row r="863" spans="1:10">
      <c r="A863" s="398"/>
      <c r="B863" s="230" t="s">
        <v>535</v>
      </c>
      <c r="C863" s="231" t="s">
        <v>112</v>
      </c>
      <c r="D863" s="436">
        <v>0.33363000000000004</v>
      </c>
      <c r="E863" s="974">
        <f>Insumos!C78</f>
        <v>6.4064000000000005</v>
      </c>
      <c r="F863" s="974"/>
      <c r="G863" s="958">
        <f>ROUND(D863*E863,2)</f>
        <v>2.14</v>
      </c>
      <c r="H863" s="958"/>
    </row>
    <row r="864" spans="1:10">
      <c r="A864" s="398"/>
      <c r="B864" s="230" t="s">
        <v>576</v>
      </c>
      <c r="C864" s="231" t="s">
        <v>112</v>
      </c>
      <c r="D864" s="436">
        <v>0.2</v>
      </c>
      <c r="E864" s="959">
        <f>Insumos!C92</f>
        <v>8.6722999999999999</v>
      </c>
      <c r="F864" s="959"/>
      <c r="G864" s="958">
        <f>ROUND(D864*E864,2)</f>
        <v>1.73</v>
      </c>
      <c r="H864" s="958"/>
    </row>
    <row r="865" spans="1:10">
      <c r="A865" s="398"/>
      <c r="B865" s="955" t="s">
        <v>536</v>
      </c>
      <c r="C865" s="955"/>
      <c r="D865" s="955"/>
      <c r="E865" s="389"/>
      <c r="F865" s="409"/>
      <c r="G865" s="410"/>
      <c r="H865" s="249">
        <f>SUM(G861:H862)</f>
        <v>1.41</v>
      </c>
    </row>
    <row r="866" spans="1:10">
      <c r="A866" s="398"/>
      <c r="B866" s="955" t="s">
        <v>537</v>
      </c>
      <c r="C866" s="955"/>
      <c r="D866" s="955"/>
      <c r="E866" s="389"/>
      <c r="F866" s="409"/>
      <c r="G866" s="410"/>
      <c r="H866" s="249">
        <f>SUM(G863:H864)</f>
        <v>3.87</v>
      </c>
    </row>
    <row r="867" spans="1:10">
      <c r="A867" s="398"/>
      <c r="B867" s="955" t="s">
        <v>1937</v>
      </c>
      <c r="C867" s="955"/>
      <c r="D867" s="955"/>
      <c r="E867" s="389"/>
      <c r="F867" s="409"/>
      <c r="G867" s="410"/>
      <c r="H867" s="249">
        <f>SUM(H865:H866)</f>
        <v>5.28</v>
      </c>
    </row>
    <row r="868" spans="1:10">
      <c r="A868" s="398"/>
      <c r="B868" s="955" t="s">
        <v>538</v>
      </c>
      <c r="C868" s="955"/>
      <c r="D868" s="955"/>
      <c r="E868" s="389"/>
      <c r="F868" s="411" t="s">
        <v>539</v>
      </c>
      <c r="G868" s="410"/>
      <c r="H868" s="249">
        <f>ROUND(H867*F868,2)</f>
        <v>1.32</v>
      </c>
    </row>
    <row r="869" spans="1:10">
      <c r="A869" s="398"/>
      <c r="B869" s="956" t="s">
        <v>540</v>
      </c>
      <c r="C869" s="956"/>
      <c r="D869" s="956"/>
      <c r="E869" s="740"/>
      <c r="F869" s="768"/>
      <c r="G869" s="769"/>
      <c r="H869" s="770">
        <f>SUM(H867:H868)</f>
        <v>6.6000000000000005</v>
      </c>
    </row>
    <row r="870" spans="1:10" s="579" customFormat="1">
      <c r="A870" s="601"/>
      <c r="B870" s="780"/>
      <c r="C870" s="780"/>
      <c r="D870" s="780"/>
      <c r="E870" s="740"/>
      <c r="F870" s="768"/>
      <c r="G870" s="769"/>
      <c r="H870" s="770"/>
      <c r="I870" s="400"/>
      <c r="J870" s="404"/>
    </row>
    <row r="871" spans="1:10" ht="29.45" customHeight="1">
      <c r="A871" s="403" t="s">
        <v>2359</v>
      </c>
      <c r="B871" s="961" t="s">
        <v>1411</v>
      </c>
      <c r="C871" s="961"/>
      <c r="D871" s="961"/>
      <c r="E871" s="961"/>
      <c r="F871" s="961"/>
      <c r="G871" s="406"/>
      <c r="H871" s="403" t="s">
        <v>13</v>
      </c>
    </row>
    <row r="872" spans="1:10">
      <c r="A872" s="398"/>
      <c r="B872" s="230" t="s">
        <v>1412</v>
      </c>
      <c r="C872" s="231" t="s">
        <v>97</v>
      </c>
      <c r="D872" s="401">
        <v>1.4999999999999999E-2</v>
      </c>
      <c r="E872" s="964">
        <f>Insumos!C1123</f>
        <v>236.65460000000002</v>
      </c>
      <c r="F872" s="964"/>
      <c r="G872" s="958">
        <f>ROUND(D872*E872,2)</f>
        <v>3.55</v>
      </c>
      <c r="H872" s="958"/>
    </row>
    <row r="873" spans="1:10">
      <c r="A873" s="398"/>
      <c r="B873" s="230" t="s">
        <v>535</v>
      </c>
      <c r="C873" s="231" t="s">
        <v>112</v>
      </c>
      <c r="D873" s="401">
        <v>0.6986</v>
      </c>
      <c r="E873" s="964">
        <f>Insumos!C1124</f>
        <v>6.4064000000000005</v>
      </c>
      <c r="F873" s="964"/>
      <c r="G873" s="958">
        <f>ROUND(D873*E873,2)</f>
        <v>4.4800000000000004</v>
      </c>
      <c r="H873" s="958"/>
    </row>
    <row r="874" spans="1:10">
      <c r="A874" s="398"/>
      <c r="B874" s="230" t="s">
        <v>576</v>
      </c>
      <c r="C874" s="231" t="s">
        <v>112</v>
      </c>
      <c r="D874" s="401">
        <v>0.7</v>
      </c>
      <c r="E874" s="964">
        <f>Insumos!C1125</f>
        <v>8.6722999999999999</v>
      </c>
      <c r="F874" s="964"/>
      <c r="G874" s="958">
        <f>ROUND(D874*E874,2)</f>
        <v>6.07</v>
      </c>
      <c r="H874" s="958"/>
    </row>
    <row r="875" spans="1:10">
      <c r="A875" s="398"/>
      <c r="B875" s="955" t="s">
        <v>536</v>
      </c>
      <c r="C875" s="955"/>
      <c r="D875" s="955"/>
      <c r="E875" s="389"/>
      <c r="F875" s="409"/>
      <c r="G875" s="410"/>
      <c r="H875" s="249">
        <f>SUM(G872:H872)</f>
        <v>3.55</v>
      </c>
    </row>
    <row r="876" spans="1:10">
      <c r="A876" s="398"/>
      <c r="B876" s="955" t="s">
        <v>537</v>
      </c>
      <c r="C876" s="955"/>
      <c r="D876" s="955"/>
      <c r="E876" s="389"/>
      <c r="F876" s="409"/>
      <c r="G876" s="410"/>
      <c r="H876" s="249">
        <f>SUM(G873:H874)</f>
        <v>10.55</v>
      </c>
    </row>
    <row r="877" spans="1:10">
      <c r="A877" s="398"/>
      <c r="B877" s="955" t="s">
        <v>1937</v>
      </c>
      <c r="C877" s="955"/>
      <c r="D877" s="955"/>
      <c r="E877" s="389"/>
      <c r="F877" s="409"/>
      <c r="G877" s="410"/>
      <c r="H877" s="249">
        <f>SUM(H875:H876)</f>
        <v>14.100000000000001</v>
      </c>
    </row>
    <row r="878" spans="1:10">
      <c r="A878" s="398"/>
      <c r="B878" s="955" t="s">
        <v>538</v>
      </c>
      <c r="C878" s="955"/>
      <c r="D878" s="955"/>
      <c r="E878" s="389"/>
      <c r="F878" s="411" t="s">
        <v>539</v>
      </c>
      <c r="G878" s="410"/>
      <c r="H878" s="249">
        <f t="shared" ref="H878" si="42">ROUND(H877*F878,2)</f>
        <v>3.52</v>
      </c>
    </row>
    <row r="879" spans="1:10">
      <c r="A879" s="398"/>
      <c r="B879" s="956" t="s">
        <v>540</v>
      </c>
      <c r="C879" s="956"/>
      <c r="D879" s="956"/>
      <c r="E879" s="740"/>
      <c r="F879" s="768"/>
      <c r="G879" s="769"/>
      <c r="H879" s="770">
        <f>SUM(H877:H878)</f>
        <v>17.62</v>
      </c>
    </row>
    <row r="880" spans="1:10" s="579" customFormat="1">
      <c r="A880" s="601"/>
      <c r="B880" s="780"/>
      <c r="C880" s="780"/>
      <c r="D880" s="780"/>
      <c r="E880" s="740"/>
      <c r="F880" s="768"/>
      <c r="G880" s="769"/>
      <c r="H880" s="770"/>
      <c r="I880" s="400"/>
      <c r="J880" s="404"/>
    </row>
    <row r="881" spans="1:10" ht="25.15" customHeight="1">
      <c r="A881" s="403" t="s">
        <v>2360</v>
      </c>
      <c r="B881" s="961" t="s">
        <v>1558</v>
      </c>
      <c r="C881" s="961"/>
      <c r="D881" s="961"/>
      <c r="E881" s="961"/>
      <c r="F881" s="961"/>
      <c r="G881" s="406"/>
      <c r="H881" s="403" t="s">
        <v>13</v>
      </c>
    </row>
    <row r="882" spans="1:10" s="406" customFormat="1" ht="15">
      <c r="A882" s="398"/>
      <c r="B882" s="230" t="s">
        <v>684</v>
      </c>
      <c r="C882" s="231" t="s">
        <v>13</v>
      </c>
      <c r="D882" s="436">
        <v>1</v>
      </c>
      <c r="E882" s="959">
        <f>Insumos!C1126</f>
        <v>9.1</v>
      </c>
      <c r="F882" s="959"/>
      <c r="G882" s="958">
        <f>ROUND(E882*D882,2)</f>
        <v>9.1</v>
      </c>
      <c r="H882" s="958"/>
      <c r="I882" s="407"/>
      <c r="J882" s="408"/>
    </row>
    <row r="883" spans="1:10">
      <c r="A883" s="398"/>
      <c r="B883" s="449" t="s">
        <v>1993</v>
      </c>
      <c r="C883" s="231" t="s">
        <v>88</v>
      </c>
      <c r="D883" s="436">
        <v>2</v>
      </c>
      <c r="E883" s="959">
        <f>Insumos!C1260</f>
        <v>8.3265000000000011</v>
      </c>
      <c r="F883" s="959"/>
      <c r="G883" s="958">
        <f t="shared" ref="G883:G887" si="43">ROUND(E883*D883,2)</f>
        <v>16.649999999999999</v>
      </c>
      <c r="H883" s="958"/>
    </row>
    <row r="884" spans="1:10">
      <c r="A884" s="398"/>
      <c r="B884" s="230" t="s">
        <v>670</v>
      </c>
      <c r="C884" s="231" t="s">
        <v>16</v>
      </c>
      <c r="D884" s="436">
        <v>0.04</v>
      </c>
      <c r="E884" s="959">
        <f>Insumos!C1130</f>
        <v>34.543600000000005</v>
      </c>
      <c r="F884" s="959"/>
      <c r="G884" s="958">
        <f t="shared" si="43"/>
        <v>1.38</v>
      </c>
      <c r="H884" s="958"/>
    </row>
    <row r="885" spans="1:10">
      <c r="A885" s="398"/>
      <c r="B885" s="230" t="s">
        <v>642</v>
      </c>
      <c r="C885" s="231" t="s">
        <v>16</v>
      </c>
      <c r="D885" s="436">
        <v>3</v>
      </c>
      <c r="E885" s="959">
        <f>Insumos!C1131</f>
        <v>4.9686000000000003</v>
      </c>
      <c r="F885" s="959"/>
      <c r="G885" s="958">
        <f t="shared" si="43"/>
        <v>14.91</v>
      </c>
      <c r="H885" s="958"/>
    </row>
    <row r="886" spans="1:10" s="406" customFormat="1" ht="15">
      <c r="A886" s="398"/>
      <c r="B886" s="230" t="s">
        <v>535</v>
      </c>
      <c r="C886" s="231" t="s">
        <v>112</v>
      </c>
      <c r="D886" s="436">
        <v>0.5</v>
      </c>
      <c r="E886" s="959">
        <f>Insumos!C1134</f>
        <v>6.4064000000000005</v>
      </c>
      <c r="F886" s="959"/>
      <c r="G886" s="958">
        <f t="shared" si="43"/>
        <v>3.2</v>
      </c>
      <c r="H886" s="958"/>
      <c r="I886" s="407"/>
      <c r="J886" s="408"/>
    </row>
    <row r="887" spans="1:10">
      <c r="A887" s="398"/>
      <c r="B887" s="230" t="s">
        <v>631</v>
      </c>
      <c r="C887" s="231" t="s">
        <v>112</v>
      </c>
      <c r="D887" s="436">
        <v>0.5</v>
      </c>
      <c r="E887" s="959">
        <f>Insumos!C1135</f>
        <v>8.19</v>
      </c>
      <c r="F887" s="959"/>
      <c r="G887" s="958">
        <f t="shared" si="43"/>
        <v>4.0999999999999996</v>
      </c>
      <c r="H887" s="958"/>
    </row>
    <row r="888" spans="1:10">
      <c r="A888" s="398"/>
      <c r="B888" s="955" t="s">
        <v>536</v>
      </c>
      <c r="C888" s="955"/>
      <c r="D888" s="955"/>
      <c r="E888" s="389"/>
      <c r="F888" s="409"/>
      <c r="G888" s="410"/>
      <c r="H888" s="249">
        <f>SUM(G882:H885)</f>
        <v>42.04</v>
      </c>
    </row>
    <row r="889" spans="1:10">
      <c r="A889" s="398"/>
      <c r="B889" s="955" t="s">
        <v>537</v>
      </c>
      <c r="C889" s="955"/>
      <c r="D889" s="955"/>
      <c r="E889" s="389"/>
      <c r="F889" s="409"/>
      <c r="G889" s="410"/>
      <c r="H889" s="249">
        <f>SUM(G886:H887)</f>
        <v>7.3</v>
      </c>
    </row>
    <row r="890" spans="1:10">
      <c r="A890" s="398"/>
      <c r="B890" s="955" t="s">
        <v>1937</v>
      </c>
      <c r="C890" s="955"/>
      <c r="D890" s="955"/>
      <c r="E890" s="389"/>
      <c r="F890" s="409"/>
      <c r="G890" s="410"/>
      <c r="H890" s="249">
        <f>SUM(H888:H889)</f>
        <v>49.339999999999996</v>
      </c>
    </row>
    <row r="891" spans="1:10">
      <c r="A891" s="398"/>
      <c r="B891" s="955" t="s">
        <v>538</v>
      </c>
      <c r="C891" s="955"/>
      <c r="D891" s="955"/>
      <c r="E891" s="389"/>
      <c r="F891" s="411" t="s">
        <v>539</v>
      </c>
      <c r="G891" s="410"/>
      <c r="H891" s="249">
        <f t="shared" ref="H891" si="44">ROUND(H890*F891,2)</f>
        <v>12.32</v>
      </c>
    </row>
    <row r="892" spans="1:10">
      <c r="A892" s="398"/>
      <c r="B892" s="956" t="s">
        <v>540</v>
      </c>
      <c r="C892" s="956"/>
      <c r="D892" s="956"/>
      <c r="E892" s="740"/>
      <c r="F892" s="768"/>
      <c r="G892" s="769"/>
      <c r="H892" s="770">
        <f>SUM(H890:H891)</f>
        <v>61.66</v>
      </c>
    </row>
    <row r="893" spans="1:10" s="579" customFormat="1">
      <c r="A893" s="601"/>
      <c r="B893" s="780"/>
      <c r="C893" s="780"/>
      <c r="D893" s="780"/>
      <c r="E893" s="740"/>
      <c r="F893" s="768"/>
      <c r="G893" s="769"/>
      <c r="H893" s="770"/>
      <c r="I893" s="400"/>
      <c r="J893" s="404"/>
    </row>
    <row r="894" spans="1:10" s="167" customFormat="1">
      <c r="A894" s="756">
        <v>14</v>
      </c>
      <c r="B894" s="975" t="s">
        <v>687</v>
      </c>
      <c r="C894" s="975"/>
      <c r="D894" s="975"/>
      <c r="E894" s="975"/>
      <c r="F894" s="975"/>
      <c r="G894" s="766"/>
      <c r="H894" s="767"/>
      <c r="I894" s="326"/>
      <c r="J894" s="344"/>
    </row>
    <row r="895" spans="1:10" ht="15">
      <c r="A895" s="403" t="s">
        <v>24</v>
      </c>
      <c r="B895" s="960" t="s">
        <v>1566</v>
      </c>
      <c r="C895" s="960"/>
      <c r="D895" s="960"/>
      <c r="E895" s="960"/>
      <c r="F895" s="960"/>
      <c r="G895" s="406"/>
      <c r="H895" s="403" t="s">
        <v>13</v>
      </c>
    </row>
    <row r="896" spans="1:10">
      <c r="A896" s="398"/>
      <c r="B896" s="230" t="s">
        <v>689</v>
      </c>
      <c r="C896" s="231" t="s">
        <v>97</v>
      </c>
      <c r="D896" s="436">
        <v>5.3799103139013468E-2</v>
      </c>
      <c r="E896" s="966">
        <f>Insumos!C1154</f>
        <v>301.94710000000003</v>
      </c>
      <c r="F896" s="966"/>
      <c r="G896" s="958">
        <f>ROUND(D896*E896,2)</f>
        <v>16.239999999999998</v>
      </c>
      <c r="H896" s="958"/>
    </row>
    <row r="897" spans="1:10">
      <c r="A897" s="398"/>
      <c r="B897" s="230" t="s">
        <v>535</v>
      </c>
      <c r="C897" s="231" t="s">
        <v>112</v>
      </c>
      <c r="D897" s="436">
        <v>0.05</v>
      </c>
      <c r="E897" s="964">
        <f>Insumos!C1156</f>
        <v>6.4064000000000005</v>
      </c>
      <c r="F897" s="964"/>
      <c r="G897" s="958">
        <f>ROUND(D897*E897,2)</f>
        <v>0.32</v>
      </c>
      <c r="H897" s="958"/>
    </row>
    <row r="898" spans="1:10">
      <c r="A898" s="398"/>
      <c r="B898" s="230" t="s">
        <v>576</v>
      </c>
      <c r="C898" s="231" t="s">
        <v>112</v>
      </c>
      <c r="D898" s="436">
        <v>0.7</v>
      </c>
      <c r="E898" s="964">
        <f>Insumos!C1157</f>
        <v>8.6722999999999999</v>
      </c>
      <c r="F898" s="964"/>
      <c r="G898" s="958">
        <f>ROUND(D898*E898,2)</f>
        <v>6.07</v>
      </c>
      <c r="H898" s="958"/>
    </row>
    <row r="899" spans="1:10">
      <c r="A899" s="398"/>
      <c r="B899" s="955" t="s">
        <v>536</v>
      </c>
      <c r="C899" s="955"/>
      <c r="D899" s="955"/>
      <c r="E899" s="389"/>
      <c r="F899" s="409"/>
      <c r="G899" s="410"/>
      <c r="H899" s="249">
        <f>SUM(G896:H896)</f>
        <v>16.239999999999998</v>
      </c>
    </row>
    <row r="900" spans="1:10">
      <c r="A900" s="398"/>
      <c r="B900" s="955" t="s">
        <v>537</v>
      </c>
      <c r="C900" s="955"/>
      <c r="D900" s="955"/>
      <c r="E900" s="389"/>
      <c r="F900" s="409"/>
      <c r="G900" s="410"/>
      <c r="H900" s="249">
        <f>SUM(G897:H898)</f>
        <v>6.3900000000000006</v>
      </c>
    </row>
    <row r="901" spans="1:10">
      <c r="A901" s="398"/>
      <c r="B901" s="955" t="s">
        <v>1937</v>
      </c>
      <c r="C901" s="955"/>
      <c r="D901" s="955"/>
      <c r="E901" s="389"/>
      <c r="F901" s="409"/>
      <c r="G901" s="410"/>
      <c r="H901" s="249">
        <f>SUM(H899:H900)</f>
        <v>22.63</v>
      </c>
    </row>
    <row r="902" spans="1:10">
      <c r="A902" s="398"/>
      <c r="B902" s="955" t="s">
        <v>538</v>
      </c>
      <c r="C902" s="955"/>
      <c r="D902" s="955"/>
      <c r="E902" s="389"/>
      <c r="F902" s="411" t="s">
        <v>539</v>
      </c>
      <c r="G902" s="410"/>
      <c r="H902" s="249">
        <f t="shared" ref="H902" si="45">ROUND(H901*F902,2)</f>
        <v>5.65</v>
      </c>
    </row>
    <row r="903" spans="1:10">
      <c r="A903" s="398"/>
      <c r="B903" s="956" t="s">
        <v>540</v>
      </c>
      <c r="C903" s="956"/>
      <c r="D903" s="956"/>
      <c r="E903" s="740"/>
      <c r="F903" s="768"/>
      <c r="G903" s="769"/>
      <c r="H903" s="770">
        <f>SUM(H901:H902)</f>
        <v>28.28</v>
      </c>
    </row>
    <row r="904" spans="1:10" s="579" customFormat="1">
      <c r="A904" s="601"/>
      <c r="B904" s="780"/>
      <c r="C904" s="780"/>
      <c r="D904" s="780"/>
      <c r="E904" s="740"/>
      <c r="F904" s="768"/>
      <c r="G904" s="769"/>
      <c r="H904" s="770"/>
      <c r="I904" s="400"/>
      <c r="J904" s="404"/>
    </row>
    <row r="905" spans="1:10" ht="27.6" customHeight="1">
      <c r="A905" s="403" t="s">
        <v>25</v>
      </c>
      <c r="B905" s="989" t="s">
        <v>1559</v>
      </c>
      <c r="C905" s="989"/>
      <c r="D905" s="989"/>
      <c r="E905" s="989"/>
      <c r="F905" s="989"/>
      <c r="G905" s="406"/>
      <c r="H905" s="403" t="s">
        <v>13</v>
      </c>
    </row>
    <row r="906" spans="1:10">
      <c r="A906" s="398"/>
      <c r="B906" s="230" t="s">
        <v>675</v>
      </c>
      <c r="C906" s="231" t="s">
        <v>112</v>
      </c>
      <c r="D906" s="436">
        <v>0.04</v>
      </c>
      <c r="E906" s="964">
        <f>Insumos!C1158</f>
        <v>2.0474999999999999</v>
      </c>
      <c r="F906" s="964"/>
      <c r="G906" s="958">
        <f t="shared" ref="G906:G911" si="46">ROUND(D906*E906,2)</f>
        <v>0.08</v>
      </c>
      <c r="H906" s="958"/>
    </row>
    <row r="907" spans="1:10">
      <c r="A907" s="398"/>
      <c r="B907" s="230" t="s">
        <v>549</v>
      </c>
      <c r="C907" s="231" t="s">
        <v>16</v>
      </c>
      <c r="D907" s="436">
        <v>5.5</v>
      </c>
      <c r="E907" s="964">
        <f>Insumos!C1159</f>
        <v>0.50050000000000006</v>
      </c>
      <c r="F907" s="964"/>
      <c r="G907" s="958">
        <f t="shared" si="46"/>
        <v>2.75</v>
      </c>
      <c r="H907" s="958"/>
    </row>
    <row r="908" spans="1:10">
      <c r="A908" s="398"/>
      <c r="B908" s="230" t="s">
        <v>643</v>
      </c>
      <c r="C908" s="231" t="s">
        <v>16</v>
      </c>
      <c r="D908" s="436">
        <v>1.9198725000000056</v>
      </c>
      <c r="E908" s="964">
        <f>Insumos!C1160</f>
        <v>1.0465</v>
      </c>
      <c r="F908" s="964"/>
      <c r="G908" s="958">
        <f t="shared" si="46"/>
        <v>2.0099999999999998</v>
      </c>
      <c r="H908" s="958"/>
    </row>
    <row r="909" spans="1:10">
      <c r="A909" s="398"/>
      <c r="B909" s="230" t="s">
        <v>618</v>
      </c>
      <c r="C909" s="231" t="s">
        <v>97</v>
      </c>
      <c r="D909" s="436">
        <v>0.03</v>
      </c>
      <c r="E909" s="964">
        <f>Insumos!C1161</f>
        <v>31.85</v>
      </c>
      <c r="F909" s="964"/>
      <c r="G909" s="958">
        <f t="shared" si="46"/>
        <v>0.96</v>
      </c>
      <c r="H909" s="958"/>
    </row>
    <row r="910" spans="1:10">
      <c r="A910" s="398"/>
      <c r="B910" s="230" t="s">
        <v>535</v>
      </c>
      <c r="C910" s="231" t="s">
        <v>112</v>
      </c>
      <c r="D910" s="436">
        <v>0.25</v>
      </c>
      <c r="E910" s="964">
        <f>Insumos!C1162</f>
        <v>6.4064000000000005</v>
      </c>
      <c r="F910" s="964"/>
      <c r="G910" s="958">
        <f t="shared" si="46"/>
        <v>1.6</v>
      </c>
      <c r="H910" s="958"/>
    </row>
    <row r="911" spans="1:10">
      <c r="A911" s="398"/>
      <c r="B911" s="230" t="s">
        <v>576</v>
      </c>
      <c r="C911" s="231" t="s">
        <v>112</v>
      </c>
      <c r="D911" s="436">
        <v>0.25</v>
      </c>
      <c r="E911" s="964">
        <f>Insumos!C1163</f>
        <v>8.6722999999999999</v>
      </c>
      <c r="F911" s="964"/>
      <c r="G911" s="958">
        <f t="shared" si="46"/>
        <v>2.17</v>
      </c>
      <c r="H911" s="958"/>
    </row>
    <row r="912" spans="1:10">
      <c r="A912" s="398"/>
      <c r="B912" s="955" t="s">
        <v>536</v>
      </c>
      <c r="C912" s="955"/>
      <c r="D912" s="955"/>
      <c r="E912" s="389"/>
      <c r="F912" s="409"/>
      <c r="G912" s="410"/>
      <c r="H912" s="249">
        <f>SUM(G906:H909)</f>
        <v>5.8</v>
      </c>
    </row>
    <row r="913" spans="1:10">
      <c r="A913" s="398"/>
      <c r="B913" s="955" t="s">
        <v>537</v>
      </c>
      <c r="C913" s="955"/>
      <c r="D913" s="955"/>
      <c r="E913" s="389"/>
      <c r="F913" s="409"/>
      <c r="G913" s="410"/>
      <c r="H913" s="249">
        <f>SUM(G910:H911)</f>
        <v>3.77</v>
      </c>
    </row>
    <row r="914" spans="1:10">
      <c r="A914" s="398"/>
      <c r="B914" s="955" t="s">
        <v>1937</v>
      </c>
      <c r="C914" s="955"/>
      <c r="D914" s="955"/>
      <c r="E914" s="389"/>
      <c r="F914" s="409"/>
      <c r="G914" s="410"/>
      <c r="H914" s="249">
        <f>SUM(H912:H913)</f>
        <v>9.57</v>
      </c>
    </row>
    <row r="915" spans="1:10">
      <c r="A915" s="398"/>
      <c r="B915" s="955" t="s">
        <v>538</v>
      </c>
      <c r="C915" s="955"/>
      <c r="D915" s="955"/>
      <c r="E915" s="389"/>
      <c r="F915" s="411" t="s">
        <v>539</v>
      </c>
      <c r="G915" s="410"/>
      <c r="H915" s="249">
        <f t="shared" ref="H915" si="47">ROUND(H914*F915,2)</f>
        <v>2.39</v>
      </c>
    </row>
    <row r="916" spans="1:10">
      <c r="A916" s="398"/>
      <c r="B916" s="956" t="s">
        <v>540</v>
      </c>
      <c r="C916" s="956"/>
      <c r="D916" s="956"/>
      <c r="E916" s="740"/>
      <c r="F916" s="768"/>
      <c r="G916" s="769"/>
      <c r="H916" s="770">
        <f>SUM(H914:H915)</f>
        <v>11.96</v>
      </c>
    </row>
    <row r="917" spans="1:10" s="579" customFormat="1">
      <c r="A917" s="601"/>
      <c r="B917" s="780"/>
      <c r="C917" s="780"/>
      <c r="D917" s="780"/>
      <c r="E917" s="740"/>
      <c r="F917" s="768"/>
      <c r="G917" s="769"/>
      <c r="H917" s="770"/>
      <c r="I917" s="400"/>
      <c r="J917" s="404"/>
    </row>
    <row r="918" spans="1:10" ht="34.15" customHeight="1">
      <c r="A918" s="403" t="s">
        <v>111</v>
      </c>
      <c r="B918" s="960" t="s">
        <v>1438</v>
      </c>
      <c r="C918" s="960"/>
      <c r="D918" s="960"/>
      <c r="E918" s="960"/>
      <c r="F918" s="960"/>
      <c r="G918" s="445"/>
      <c r="H918" s="444" t="s">
        <v>13</v>
      </c>
    </row>
    <row r="919" spans="1:10">
      <c r="A919" s="398"/>
      <c r="B919" s="449" t="s">
        <v>618</v>
      </c>
      <c r="C919" s="448" t="s">
        <v>16</v>
      </c>
      <c r="D919" s="437">
        <v>0.03</v>
      </c>
      <c r="E919" s="974">
        <f>Insumos!C1164</f>
        <v>31.85</v>
      </c>
      <c r="F919" s="974"/>
      <c r="G919" s="976">
        <f t="shared" ref="G919:G924" si="48">ROUND(D919*E919,2)</f>
        <v>0.96</v>
      </c>
      <c r="H919" s="976"/>
    </row>
    <row r="920" spans="1:10">
      <c r="A920" s="398"/>
      <c r="B920" s="449" t="s">
        <v>1439</v>
      </c>
      <c r="C920" s="448" t="s">
        <v>13</v>
      </c>
      <c r="D920" s="437">
        <v>1.0538181818181822</v>
      </c>
      <c r="E920" s="974">
        <f>Insumos!C1165</f>
        <v>20.547799999999999</v>
      </c>
      <c r="F920" s="974"/>
      <c r="G920" s="976">
        <f t="shared" si="48"/>
        <v>21.65</v>
      </c>
      <c r="H920" s="976"/>
    </row>
    <row r="921" spans="1:10">
      <c r="A921" s="398"/>
      <c r="B921" s="449" t="s">
        <v>549</v>
      </c>
      <c r="C921" s="448" t="s">
        <v>16</v>
      </c>
      <c r="D921" s="437">
        <v>11.8</v>
      </c>
      <c r="E921" s="974">
        <f>Insumos!C1166</f>
        <v>0.50050000000000006</v>
      </c>
      <c r="F921" s="974"/>
      <c r="G921" s="976">
        <f t="shared" si="48"/>
        <v>5.91</v>
      </c>
      <c r="H921" s="976"/>
    </row>
    <row r="922" spans="1:10">
      <c r="A922" s="398"/>
      <c r="B922" s="449" t="s">
        <v>638</v>
      </c>
      <c r="C922" s="448" t="s">
        <v>16</v>
      </c>
      <c r="D922" s="437">
        <v>0.38</v>
      </c>
      <c r="E922" s="974">
        <f>Insumos!C1167</f>
        <v>3.64</v>
      </c>
      <c r="F922" s="974"/>
      <c r="G922" s="976">
        <f t="shared" si="48"/>
        <v>1.38</v>
      </c>
      <c r="H922" s="976"/>
    </row>
    <row r="923" spans="1:10">
      <c r="A923" s="398"/>
      <c r="B923" s="449" t="s">
        <v>515</v>
      </c>
      <c r="C923" s="448" t="s">
        <v>112</v>
      </c>
      <c r="D923" s="437">
        <v>0.48</v>
      </c>
      <c r="E923" s="974">
        <f>Insumos!C1168</f>
        <v>7.8806000000000003</v>
      </c>
      <c r="F923" s="974"/>
      <c r="G923" s="976">
        <f t="shared" si="48"/>
        <v>3.78</v>
      </c>
      <c r="H923" s="976"/>
    </row>
    <row r="924" spans="1:10">
      <c r="A924" s="398"/>
      <c r="B924" s="449" t="s">
        <v>535</v>
      </c>
      <c r="C924" s="448" t="s">
        <v>112</v>
      </c>
      <c r="D924" s="437">
        <v>0.5</v>
      </c>
      <c r="E924" s="974">
        <f>Insumos!C1169</f>
        <v>6.4064000000000005</v>
      </c>
      <c r="F924" s="974"/>
      <c r="G924" s="976">
        <f t="shared" si="48"/>
        <v>3.2</v>
      </c>
      <c r="H924" s="976"/>
    </row>
    <row r="925" spans="1:10">
      <c r="A925" s="398"/>
      <c r="B925" s="955" t="s">
        <v>536</v>
      </c>
      <c r="C925" s="955"/>
      <c r="D925" s="955"/>
      <c r="E925" s="389"/>
      <c r="F925" s="409"/>
      <c r="G925" s="410"/>
      <c r="H925" s="249">
        <f>SUM(G919:H922)</f>
        <v>29.9</v>
      </c>
    </row>
    <row r="926" spans="1:10">
      <c r="A926" s="398"/>
      <c r="B926" s="955" t="s">
        <v>537</v>
      </c>
      <c r="C926" s="955"/>
      <c r="D926" s="955"/>
      <c r="E926" s="389"/>
      <c r="F926" s="409"/>
      <c r="G926" s="410"/>
      <c r="H926" s="249">
        <f>SUM(G923:H924)</f>
        <v>6.98</v>
      </c>
    </row>
    <row r="927" spans="1:10">
      <c r="A927" s="398"/>
      <c r="B927" s="955" t="s">
        <v>1937</v>
      </c>
      <c r="C927" s="955"/>
      <c r="D927" s="955"/>
      <c r="E927" s="389"/>
      <c r="F927" s="409"/>
      <c r="G927" s="410"/>
      <c r="H927" s="249">
        <f>SUM(H925:H926)</f>
        <v>36.879999999999995</v>
      </c>
    </row>
    <row r="928" spans="1:10">
      <c r="A928" s="398"/>
      <c r="B928" s="955" t="s">
        <v>538</v>
      </c>
      <c r="C928" s="955"/>
      <c r="D928" s="955"/>
      <c r="E928" s="389"/>
      <c r="F928" s="411" t="s">
        <v>539</v>
      </c>
      <c r="G928" s="410"/>
      <c r="H928" s="249">
        <f t="shared" ref="H928" si="49">ROUND(H927*F928,2)</f>
        <v>9.2100000000000009</v>
      </c>
    </row>
    <row r="929" spans="1:10">
      <c r="A929" s="398"/>
      <c r="B929" s="956" t="s">
        <v>540</v>
      </c>
      <c r="C929" s="956"/>
      <c r="D929" s="956"/>
      <c r="E929" s="740"/>
      <c r="F929" s="768"/>
      <c r="G929" s="769"/>
      <c r="H929" s="770">
        <f>SUM(H927:H928)</f>
        <v>46.089999999999996</v>
      </c>
    </row>
    <row r="930" spans="1:10" s="579" customFormat="1">
      <c r="A930" s="601"/>
      <c r="B930" s="780"/>
      <c r="C930" s="780"/>
      <c r="D930" s="780"/>
      <c r="E930" s="740"/>
      <c r="F930" s="768"/>
      <c r="G930" s="769"/>
      <c r="H930" s="770"/>
      <c r="I930" s="400"/>
      <c r="J930" s="404"/>
    </row>
    <row r="931" spans="1:10">
      <c r="A931" s="403" t="s">
        <v>1364</v>
      </c>
      <c r="B931" s="960" t="s">
        <v>1567</v>
      </c>
      <c r="C931" s="960"/>
      <c r="D931" s="960"/>
      <c r="E931" s="960"/>
      <c r="F931" s="960"/>
      <c r="G931" s="402"/>
      <c r="H931" s="403" t="s">
        <v>13</v>
      </c>
    </row>
    <row r="932" spans="1:10">
      <c r="A932" s="398"/>
      <c r="B932" s="230" t="s">
        <v>693</v>
      </c>
      <c r="C932" s="231" t="s">
        <v>16</v>
      </c>
      <c r="D932" s="401">
        <v>16.03</v>
      </c>
      <c r="E932" s="964">
        <f>Insumos!C1170</f>
        <v>0.37309999999999999</v>
      </c>
      <c r="F932" s="964"/>
      <c r="G932" s="958">
        <f t="shared" ref="G932:G937" si="50">ROUND(D932*E932,2)</f>
        <v>5.98</v>
      </c>
      <c r="H932" s="958"/>
    </row>
    <row r="933" spans="1:10">
      <c r="A933" s="398"/>
      <c r="B933" s="230" t="s">
        <v>694</v>
      </c>
      <c r="C933" s="231" t="s">
        <v>112</v>
      </c>
      <c r="D933" s="401">
        <v>0.5</v>
      </c>
      <c r="E933" s="964">
        <f>Insumos!C1171</f>
        <v>3.5853999999999999</v>
      </c>
      <c r="F933" s="964"/>
      <c r="G933" s="958">
        <f t="shared" si="50"/>
        <v>1.79</v>
      </c>
      <c r="H933" s="958"/>
    </row>
    <row r="934" spans="1:10">
      <c r="A934" s="398"/>
      <c r="B934" s="230" t="s">
        <v>695</v>
      </c>
      <c r="C934" s="231" t="s">
        <v>15</v>
      </c>
      <c r="D934" s="401">
        <v>0.5</v>
      </c>
      <c r="E934" s="964">
        <f>Insumos!C1172</f>
        <v>1.4378000000000002</v>
      </c>
      <c r="F934" s="964"/>
      <c r="G934" s="958">
        <f t="shared" si="50"/>
        <v>0.72</v>
      </c>
      <c r="H934" s="958"/>
    </row>
    <row r="935" spans="1:10">
      <c r="A935" s="398"/>
      <c r="B935" s="230" t="s">
        <v>638</v>
      </c>
      <c r="C935" s="231" t="s">
        <v>16</v>
      </c>
      <c r="D935" s="401">
        <v>5.1416666666666595</v>
      </c>
      <c r="E935" s="964">
        <f>Insumos!C1173</f>
        <v>3.64</v>
      </c>
      <c r="F935" s="964"/>
      <c r="G935" s="958">
        <f t="shared" si="50"/>
        <v>18.72</v>
      </c>
      <c r="H935" s="958"/>
    </row>
    <row r="936" spans="1:10">
      <c r="A936" s="398"/>
      <c r="B936" s="230" t="s">
        <v>509</v>
      </c>
      <c r="C936" s="231" t="s">
        <v>112</v>
      </c>
      <c r="D936" s="401">
        <v>2</v>
      </c>
      <c r="E936" s="964">
        <f>Insumos!C1174</f>
        <v>6.4064000000000005</v>
      </c>
      <c r="F936" s="964"/>
      <c r="G936" s="958">
        <f t="shared" si="50"/>
        <v>12.81</v>
      </c>
      <c r="H936" s="958"/>
    </row>
    <row r="937" spans="1:10">
      <c r="A937" s="398"/>
      <c r="B937" s="230" t="s">
        <v>696</v>
      </c>
      <c r="C937" s="231" t="s">
        <v>112</v>
      </c>
      <c r="D937" s="401">
        <v>2</v>
      </c>
      <c r="E937" s="964">
        <f>Insumos!C1175</f>
        <v>8.162700000000001</v>
      </c>
      <c r="F937" s="964"/>
      <c r="G937" s="958">
        <f t="shared" si="50"/>
        <v>16.329999999999998</v>
      </c>
      <c r="H937" s="958"/>
    </row>
    <row r="938" spans="1:10">
      <c r="A938" s="398"/>
      <c r="B938" s="955" t="s">
        <v>536</v>
      </c>
      <c r="C938" s="955"/>
      <c r="D938" s="955"/>
      <c r="E938" s="389"/>
      <c r="F938" s="409"/>
      <c r="G938" s="410"/>
      <c r="H938" s="249">
        <f>SUM(G932:H935)</f>
        <v>27.21</v>
      </c>
    </row>
    <row r="939" spans="1:10">
      <c r="A939" s="398"/>
      <c r="B939" s="955" t="s">
        <v>537</v>
      </c>
      <c r="C939" s="955"/>
      <c r="D939" s="955"/>
      <c r="E939" s="389"/>
      <c r="F939" s="409"/>
      <c r="G939" s="410"/>
      <c r="H939" s="249">
        <f>SUM(G936:H937)</f>
        <v>29.14</v>
      </c>
    </row>
    <row r="940" spans="1:10">
      <c r="A940" s="398"/>
      <c r="B940" s="955" t="s">
        <v>1937</v>
      </c>
      <c r="C940" s="955"/>
      <c r="D940" s="955"/>
      <c r="E940" s="389"/>
      <c r="F940" s="409"/>
      <c r="G940" s="410"/>
      <c r="H940" s="249">
        <f>SUM(H938:H939)</f>
        <v>56.35</v>
      </c>
    </row>
    <row r="941" spans="1:10">
      <c r="A941" s="398"/>
      <c r="B941" s="955" t="s">
        <v>538</v>
      </c>
      <c r="C941" s="955"/>
      <c r="D941" s="955"/>
      <c r="E941" s="389"/>
      <c r="F941" s="411" t="s">
        <v>539</v>
      </c>
      <c r="G941" s="410"/>
      <c r="H941" s="249">
        <f t="shared" ref="H941" si="51">ROUND(H940*F941,2)</f>
        <v>14.06</v>
      </c>
    </row>
    <row r="942" spans="1:10">
      <c r="A942" s="398"/>
      <c r="B942" s="956" t="s">
        <v>540</v>
      </c>
      <c r="C942" s="956"/>
      <c r="D942" s="956"/>
      <c r="E942" s="740"/>
      <c r="F942" s="768"/>
      <c r="G942" s="769"/>
      <c r="H942" s="770">
        <f>SUM(H940:H941)</f>
        <v>70.41</v>
      </c>
    </row>
    <row r="943" spans="1:10" s="579" customFormat="1">
      <c r="A943" s="601"/>
      <c r="B943" s="780"/>
      <c r="C943" s="780"/>
      <c r="D943" s="780"/>
      <c r="E943" s="740"/>
      <c r="F943" s="768"/>
      <c r="G943" s="769"/>
      <c r="H943" s="770"/>
      <c r="I943" s="400"/>
      <c r="J943" s="404"/>
    </row>
    <row r="944" spans="1:10" ht="37.15" customHeight="1">
      <c r="A944" s="403" t="s">
        <v>2361</v>
      </c>
      <c r="B944" s="961" t="s">
        <v>1238</v>
      </c>
      <c r="C944" s="961"/>
      <c r="D944" s="961"/>
      <c r="E944" s="961"/>
      <c r="F944" s="961"/>
      <c r="G944" s="402"/>
      <c r="H944" s="403" t="s">
        <v>13</v>
      </c>
    </row>
    <row r="945" spans="1:10" ht="22.5">
      <c r="A945" s="398"/>
      <c r="B945" s="230" t="s">
        <v>498</v>
      </c>
      <c r="C945" s="231" t="s">
        <v>97</v>
      </c>
      <c r="D945" s="401">
        <v>0.10199999999999999</v>
      </c>
      <c r="E945" s="964">
        <f>Insumos!C1176</f>
        <v>352.77060000000006</v>
      </c>
      <c r="F945" s="964"/>
      <c r="G945" s="958">
        <f t="shared" ref="G945:G953" si="52">ROUND(D945*E945,2)</f>
        <v>35.979999999999997</v>
      </c>
      <c r="H945" s="958"/>
    </row>
    <row r="946" spans="1:10" ht="33" customHeight="1">
      <c r="A946" s="398"/>
      <c r="B946" s="230" t="s">
        <v>697</v>
      </c>
      <c r="C946" s="231" t="s">
        <v>698</v>
      </c>
      <c r="D946" s="401">
        <v>0.108477</v>
      </c>
      <c r="E946" s="964">
        <f>Insumos!C1177</f>
        <v>42.997500000000002</v>
      </c>
      <c r="F946" s="964"/>
      <c r="G946" s="958">
        <f t="shared" si="52"/>
        <v>4.66</v>
      </c>
      <c r="H946" s="958"/>
    </row>
    <row r="947" spans="1:10">
      <c r="A947" s="398"/>
      <c r="B947" s="230" t="s">
        <v>694</v>
      </c>
      <c r="C947" s="231" t="s">
        <v>112</v>
      </c>
      <c r="D947" s="401">
        <v>1.1429</v>
      </c>
      <c r="E947" s="964">
        <f>Insumos!C1178</f>
        <v>3.5853999999999999</v>
      </c>
      <c r="F947" s="964"/>
      <c r="G947" s="958">
        <f t="shared" si="52"/>
        <v>4.0999999999999996</v>
      </c>
      <c r="H947" s="958"/>
    </row>
    <row r="948" spans="1:10" ht="33" customHeight="1">
      <c r="A948" s="398"/>
      <c r="B948" s="230" t="s">
        <v>1239</v>
      </c>
      <c r="C948" s="231" t="s">
        <v>112</v>
      </c>
      <c r="D948" s="401">
        <v>0.71430000000000005</v>
      </c>
      <c r="E948" s="964">
        <f>Insumos!C1179</f>
        <v>4.0949999999999998</v>
      </c>
      <c r="F948" s="964"/>
      <c r="G948" s="958">
        <f t="shared" si="52"/>
        <v>2.93</v>
      </c>
      <c r="H948" s="958"/>
    </row>
    <row r="949" spans="1:10" ht="22.5">
      <c r="A949" s="398"/>
      <c r="B949" s="230" t="s">
        <v>1240</v>
      </c>
      <c r="C949" s="231" t="s">
        <v>13</v>
      </c>
      <c r="D949" s="401">
        <v>1.1000000000000001</v>
      </c>
      <c r="E949" s="964">
        <f>Insumos!C1180</f>
        <v>7.8078000000000003</v>
      </c>
      <c r="F949" s="964"/>
      <c r="G949" s="958">
        <f t="shared" si="52"/>
        <v>8.59</v>
      </c>
      <c r="H949" s="958"/>
    </row>
    <row r="950" spans="1:10" ht="22.5">
      <c r="A950" s="398"/>
      <c r="B950" s="230" t="s">
        <v>1241</v>
      </c>
      <c r="C950" s="231" t="s">
        <v>112</v>
      </c>
      <c r="D950" s="401">
        <v>1.6E-2</v>
      </c>
      <c r="E950" s="964">
        <f>Insumos!C1181</f>
        <v>1.5379</v>
      </c>
      <c r="F950" s="964"/>
      <c r="G950" s="958">
        <f t="shared" si="52"/>
        <v>0.02</v>
      </c>
      <c r="H950" s="958"/>
    </row>
    <row r="951" spans="1:10">
      <c r="A951" s="398"/>
      <c r="B951" s="230" t="s">
        <v>615</v>
      </c>
      <c r="C951" s="231" t="s">
        <v>112</v>
      </c>
      <c r="D951" s="401">
        <v>0.02</v>
      </c>
      <c r="E951" s="964">
        <f>Insumos!C1182</f>
        <v>8.6722999999999999</v>
      </c>
      <c r="F951" s="964"/>
      <c r="G951" s="958">
        <f t="shared" si="52"/>
        <v>0.17</v>
      </c>
      <c r="H951" s="958"/>
    </row>
    <row r="952" spans="1:10">
      <c r="A952" s="398"/>
      <c r="B952" s="230" t="s">
        <v>535</v>
      </c>
      <c r="C952" s="231" t="s">
        <v>112</v>
      </c>
      <c r="D952" s="401">
        <v>1.94</v>
      </c>
      <c r="E952" s="964">
        <f>Insumos!C1183</f>
        <v>6.4064000000000005</v>
      </c>
      <c r="F952" s="964"/>
      <c r="G952" s="958">
        <f t="shared" si="52"/>
        <v>12.43</v>
      </c>
      <c r="H952" s="958"/>
    </row>
    <row r="953" spans="1:10">
      <c r="A953" s="398"/>
      <c r="B953" s="230" t="s">
        <v>576</v>
      </c>
      <c r="C953" s="231" t="s">
        <v>112</v>
      </c>
      <c r="D953" s="401">
        <v>0.61</v>
      </c>
      <c r="E953" s="964">
        <f>Insumos!C1184</f>
        <v>8.6722999999999999</v>
      </c>
      <c r="F953" s="964"/>
      <c r="G953" s="958">
        <f t="shared" si="52"/>
        <v>5.29</v>
      </c>
      <c r="H953" s="958"/>
    </row>
    <row r="954" spans="1:10">
      <c r="A954" s="398"/>
      <c r="B954" s="955" t="s">
        <v>536</v>
      </c>
      <c r="C954" s="955"/>
      <c r="D954" s="955"/>
      <c r="E954" s="389"/>
      <c r="F954" s="409"/>
      <c r="G954" s="410"/>
      <c r="H954" s="249">
        <f>SUM(G945:H950)</f>
        <v>56.280000000000008</v>
      </c>
    </row>
    <row r="955" spans="1:10">
      <c r="A955" s="398"/>
      <c r="B955" s="955" t="s">
        <v>537</v>
      </c>
      <c r="C955" s="955"/>
      <c r="D955" s="955"/>
      <c r="E955" s="389"/>
      <c r="F955" s="409"/>
      <c r="G955" s="410"/>
      <c r="H955" s="249">
        <f>SUM(G951:H953)</f>
        <v>17.89</v>
      </c>
    </row>
    <row r="956" spans="1:10">
      <c r="A956" s="398"/>
      <c r="B956" s="955" t="s">
        <v>1937</v>
      </c>
      <c r="C956" s="955"/>
      <c r="D956" s="955"/>
      <c r="E956" s="389"/>
      <c r="F956" s="409"/>
      <c r="G956" s="410"/>
      <c r="H956" s="249">
        <f>SUM(H954:H955)</f>
        <v>74.170000000000016</v>
      </c>
    </row>
    <row r="957" spans="1:10">
      <c r="A957" s="398"/>
      <c r="B957" s="955" t="s">
        <v>538</v>
      </c>
      <c r="C957" s="955"/>
      <c r="D957" s="955"/>
      <c r="E957" s="389"/>
      <c r="F957" s="411" t="s">
        <v>539</v>
      </c>
      <c r="G957" s="410"/>
      <c r="H957" s="249">
        <f t="shared" ref="H957" si="53">ROUND(H956*F957,2)</f>
        <v>18.510000000000002</v>
      </c>
    </row>
    <row r="958" spans="1:10">
      <c r="A958" s="398"/>
      <c r="B958" s="956" t="s">
        <v>540</v>
      </c>
      <c r="C958" s="956"/>
      <c r="D958" s="956"/>
      <c r="E958" s="740"/>
      <c r="F958" s="768"/>
      <c r="G958" s="769"/>
      <c r="H958" s="770">
        <f>SUM(H956:H957)</f>
        <v>92.680000000000021</v>
      </c>
    </row>
    <row r="959" spans="1:10" s="579" customFormat="1">
      <c r="A959" s="601"/>
      <c r="B959" s="780"/>
      <c r="C959" s="780"/>
      <c r="D959" s="780"/>
      <c r="E959" s="740"/>
      <c r="F959" s="768"/>
      <c r="G959" s="769"/>
      <c r="H959" s="770"/>
      <c r="I959" s="400"/>
      <c r="J959" s="404"/>
    </row>
    <row r="960" spans="1:10" ht="33.75" customHeight="1">
      <c r="A960" s="403" t="s">
        <v>2362</v>
      </c>
      <c r="B960" s="961" t="s">
        <v>1242</v>
      </c>
      <c r="C960" s="961"/>
      <c r="D960" s="961"/>
      <c r="E960" s="961"/>
      <c r="F960" s="961"/>
      <c r="G960" s="402"/>
      <c r="H960" s="403" t="s">
        <v>13</v>
      </c>
    </row>
    <row r="961" spans="1:8">
      <c r="A961" s="398"/>
      <c r="B961" s="230" t="s">
        <v>618</v>
      </c>
      <c r="C961" s="231" t="s">
        <v>97</v>
      </c>
      <c r="D961" s="436">
        <v>0.1</v>
      </c>
      <c r="E961" s="964">
        <f>Insumos!C1185</f>
        <v>31.85</v>
      </c>
      <c r="F961" s="964"/>
      <c r="G961" s="958">
        <f t="shared" ref="G961:G971" si="54">ROUND(D961*E961,2)</f>
        <v>3.19</v>
      </c>
      <c r="H961" s="958"/>
    </row>
    <row r="962" spans="1:8">
      <c r="A962" s="398"/>
      <c r="B962" s="230" t="s">
        <v>549</v>
      </c>
      <c r="C962" s="231" t="s">
        <v>16</v>
      </c>
      <c r="D962" s="436">
        <v>17.552988505747123</v>
      </c>
      <c r="E962" s="964">
        <f>Insumos!C1186</f>
        <v>0.50050000000000006</v>
      </c>
      <c r="F962" s="964"/>
      <c r="G962" s="958">
        <f t="shared" si="54"/>
        <v>8.7899999999999991</v>
      </c>
      <c r="H962" s="958"/>
    </row>
    <row r="963" spans="1:8">
      <c r="A963" s="398"/>
      <c r="B963" s="230" t="s">
        <v>1243</v>
      </c>
      <c r="C963" s="231" t="s">
        <v>612</v>
      </c>
      <c r="D963" s="436">
        <v>0.31237500000001034</v>
      </c>
      <c r="E963" s="964">
        <f>Insumos!C1187</f>
        <v>5.0049999999999999</v>
      </c>
      <c r="F963" s="964"/>
      <c r="G963" s="958">
        <f t="shared" si="54"/>
        <v>1.56</v>
      </c>
      <c r="H963" s="958"/>
    </row>
    <row r="964" spans="1:8">
      <c r="A964" s="398"/>
      <c r="B964" s="230" t="s">
        <v>1244</v>
      </c>
      <c r="C964" s="231" t="s">
        <v>15</v>
      </c>
      <c r="D964" s="436">
        <v>2.2000000000000002</v>
      </c>
      <c r="E964" s="964">
        <f>Insumos!C1188</f>
        <v>0.84630000000000005</v>
      </c>
      <c r="F964" s="964"/>
      <c r="G964" s="958">
        <f t="shared" si="54"/>
        <v>1.86</v>
      </c>
      <c r="H964" s="958"/>
    </row>
    <row r="965" spans="1:8">
      <c r="A965" s="398"/>
      <c r="B965" s="230" t="s">
        <v>1245</v>
      </c>
      <c r="C965" s="231" t="s">
        <v>97</v>
      </c>
      <c r="D965" s="436">
        <v>0.02</v>
      </c>
      <c r="E965" s="964">
        <f>Insumos!C1189</f>
        <v>93.629900000000006</v>
      </c>
      <c r="F965" s="964"/>
      <c r="G965" s="958">
        <f t="shared" si="54"/>
        <v>1.87</v>
      </c>
      <c r="H965" s="958"/>
    </row>
    <row r="966" spans="1:8">
      <c r="A966" s="398"/>
      <c r="B966" s="230" t="s">
        <v>1246</v>
      </c>
      <c r="C966" s="231" t="s">
        <v>97</v>
      </c>
      <c r="D966" s="436">
        <v>4.3999999999999997E-2</v>
      </c>
      <c r="E966" s="964">
        <f>Insumos!C1190</f>
        <v>81.900000000000006</v>
      </c>
      <c r="F966" s="964"/>
      <c r="G966" s="958">
        <f t="shared" si="54"/>
        <v>3.6</v>
      </c>
      <c r="H966" s="958"/>
    </row>
    <row r="967" spans="1:8" ht="22.15" customHeight="1">
      <c r="A967" s="398"/>
      <c r="B967" s="230" t="s">
        <v>606</v>
      </c>
      <c r="C967" s="231" t="s">
        <v>112</v>
      </c>
      <c r="D967" s="436">
        <v>0.17</v>
      </c>
      <c r="E967" s="964">
        <f>Insumos!C1191</f>
        <v>6.8250000000000002</v>
      </c>
      <c r="F967" s="964"/>
      <c r="G967" s="958">
        <f t="shared" si="54"/>
        <v>1.1599999999999999</v>
      </c>
      <c r="H967" s="958"/>
    </row>
    <row r="968" spans="1:8">
      <c r="A968" s="398"/>
      <c r="B968" s="230" t="s">
        <v>1247</v>
      </c>
      <c r="C968" s="231" t="s">
        <v>112</v>
      </c>
      <c r="D968" s="436">
        <v>6.83E-2</v>
      </c>
      <c r="E968" s="964">
        <f>Insumos!C1192</f>
        <v>8.6722999999999999</v>
      </c>
      <c r="F968" s="964"/>
      <c r="G968" s="958">
        <f t="shared" si="54"/>
        <v>0.59</v>
      </c>
      <c r="H968" s="958"/>
    </row>
    <row r="969" spans="1:8" ht="13.9" customHeight="1">
      <c r="A969" s="398"/>
      <c r="B969" s="230" t="s">
        <v>625</v>
      </c>
      <c r="C969" s="231" t="s">
        <v>112</v>
      </c>
      <c r="D969" s="436">
        <v>0.19</v>
      </c>
      <c r="E969" s="964">
        <f>Insumos!C1193</f>
        <v>12.476100000000001</v>
      </c>
      <c r="F969" s="964"/>
      <c r="G969" s="958">
        <f t="shared" si="54"/>
        <v>2.37</v>
      </c>
      <c r="H969" s="958"/>
    </row>
    <row r="970" spans="1:8">
      <c r="A970" s="398"/>
      <c r="B970" s="230" t="s">
        <v>576</v>
      </c>
      <c r="C970" s="231" t="s">
        <v>112</v>
      </c>
      <c r="D970" s="436">
        <v>0.4</v>
      </c>
      <c r="E970" s="964">
        <f>Insumos!C1194</f>
        <v>8.6722999999999999</v>
      </c>
      <c r="F970" s="964"/>
      <c r="G970" s="958">
        <f t="shared" si="54"/>
        <v>3.47</v>
      </c>
      <c r="H970" s="958"/>
    </row>
    <row r="971" spans="1:8">
      <c r="A971" s="398"/>
      <c r="B971" s="230" t="s">
        <v>535</v>
      </c>
      <c r="C971" s="231" t="s">
        <v>112</v>
      </c>
      <c r="D971" s="436">
        <v>0.95</v>
      </c>
      <c r="E971" s="964">
        <f>Insumos!C1195</f>
        <v>6.4064000000000005</v>
      </c>
      <c r="F971" s="964"/>
      <c r="G971" s="958">
        <f t="shared" si="54"/>
        <v>6.09</v>
      </c>
      <c r="H971" s="958"/>
    </row>
    <row r="972" spans="1:8">
      <c r="A972" s="398"/>
      <c r="B972" s="955" t="s">
        <v>536</v>
      </c>
      <c r="C972" s="955"/>
      <c r="D972" s="955"/>
      <c r="E972" s="389"/>
      <c r="F972" s="409"/>
      <c r="G972" s="410"/>
      <c r="H972" s="249">
        <f>SUM(G961:H967)</f>
        <v>22.03</v>
      </c>
    </row>
    <row r="973" spans="1:8">
      <c r="A973" s="398"/>
      <c r="B973" s="955" t="s">
        <v>537</v>
      </c>
      <c r="C973" s="955"/>
      <c r="D973" s="955"/>
      <c r="E973" s="389"/>
      <c r="F973" s="409"/>
      <c r="G973" s="410"/>
      <c r="H973" s="249">
        <f>SUM(G968:H971)</f>
        <v>12.52</v>
      </c>
    </row>
    <row r="974" spans="1:8">
      <c r="A974" s="398"/>
      <c r="B974" s="955" t="s">
        <v>1937</v>
      </c>
      <c r="C974" s="955"/>
      <c r="D974" s="955"/>
      <c r="E974" s="389"/>
      <c r="F974" s="409"/>
      <c r="G974" s="410"/>
      <c r="H974" s="249">
        <f>SUM(H972:H973)</f>
        <v>34.549999999999997</v>
      </c>
    </row>
    <row r="975" spans="1:8">
      <c r="A975" s="398"/>
      <c r="B975" s="955" t="s">
        <v>538</v>
      </c>
      <c r="C975" s="955"/>
      <c r="D975" s="955"/>
      <c r="E975" s="389"/>
      <c r="F975" s="411" t="s">
        <v>539</v>
      </c>
      <c r="G975" s="410"/>
      <c r="H975" s="249">
        <f t="shared" ref="H975" si="55">ROUND(H974*F975,2)</f>
        <v>8.6199999999999992</v>
      </c>
    </row>
    <row r="976" spans="1:8">
      <c r="A976" s="398"/>
      <c r="B976" s="956" t="s">
        <v>540</v>
      </c>
      <c r="C976" s="956"/>
      <c r="D976" s="956"/>
      <c r="E976" s="740"/>
      <c r="F976" s="768"/>
      <c r="G976" s="769"/>
      <c r="H976" s="770">
        <f>SUM(H974:H975)</f>
        <v>43.169999999999995</v>
      </c>
    </row>
    <row r="977" spans="1:10" s="579" customFormat="1">
      <c r="A977" s="601"/>
      <c r="B977" s="780"/>
      <c r="C977" s="780"/>
      <c r="D977" s="780"/>
      <c r="E977" s="740"/>
      <c r="F977" s="768"/>
      <c r="G977" s="769"/>
      <c r="H977" s="770"/>
      <c r="I977" s="400"/>
      <c r="J977" s="404"/>
    </row>
    <row r="978" spans="1:10" ht="15">
      <c r="A978" s="403" t="s">
        <v>2363</v>
      </c>
      <c r="B978" s="961" t="s">
        <v>699</v>
      </c>
      <c r="C978" s="961"/>
      <c r="D978" s="961"/>
      <c r="E978" s="961"/>
      <c r="F978" s="961"/>
      <c r="G978" s="406"/>
      <c r="H978" s="403" t="s">
        <v>15</v>
      </c>
    </row>
    <row r="979" spans="1:10">
      <c r="A979" s="398"/>
      <c r="B979" s="230" t="s">
        <v>549</v>
      </c>
      <c r="C979" s="231" t="s">
        <v>16</v>
      </c>
      <c r="D979" s="401">
        <v>0.10161600000000001</v>
      </c>
      <c r="E979" s="959">
        <f>Insumos!C1196</f>
        <v>0.50050000000000006</v>
      </c>
      <c r="F979" s="959"/>
      <c r="G979" s="958">
        <f>ROUND(D979*E979,2)</f>
        <v>0.05</v>
      </c>
      <c r="H979" s="958"/>
    </row>
    <row r="980" spans="1:10">
      <c r="A980" s="398"/>
      <c r="B980" s="230" t="s">
        <v>643</v>
      </c>
      <c r="C980" s="231" t="s">
        <v>16</v>
      </c>
      <c r="D980" s="401">
        <v>0.1</v>
      </c>
      <c r="E980" s="959">
        <f>Insumos!C1197</f>
        <v>1.0465</v>
      </c>
      <c r="F980" s="959"/>
      <c r="G980" s="958">
        <f>ROUND(D980*E980,2)</f>
        <v>0.1</v>
      </c>
      <c r="H980" s="958"/>
    </row>
    <row r="981" spans="1:10">
      <c r="A981" s="398"/>
      <c r="B981" s="230" t="s">
        <v>618</v>
      </c>
      <c r="C981" s="231" t="s">
        <v>97</v>
      </c>
      <c r="D981" s="401">
        <v>1.459E-3</v>
      </c>
      <c r="E981" s="959">
        <f>Insumos!C1198</f>
        <v>31.85</v>
      </c>
      <c r="F981" s="959"/>
      <c r="G981" s="958">
        <f>ROUND(D981*E981,2)</f>
        <v>0.05</v>
      </c>
      <c r="H981" s="958"/>
    </row>
    <row r="982" spans="1:10">
      <c r="A982" s="398"/>
      <c r="B982" s="230" t="s">
        <v>535</v>
      </c>
      <c r="C982" s="231" t="s">
        <v>112</v>
      </c>
      <c r="D982" s="401">
        <v>0.40720000000000001</v>
      </c>
      <c r="E982" s="959">
        <f>Insumos!C1199</f>
        <v>6.4064000000000005</v>
      </c>
      <c r="F982" s="959"/>
      <c r="G982" s="958">
        <f>ROUND(D982*E982,2)</f>
        <v>2.61</v>
      </c>
      <c r="H982" s="958"/>
    </row>
    <row r="983" spans="1:10">
      <c r="A983" s="398"/>
      <c r="B983" s="230" t="s">
        <v>576</v>
      </c>
      <c r="C983" s="231" t="s">
        <v>112</v>
      </c>
      <c r="D983" s="401">
        <v>0.25</v>
      </c>
      <c r="E983" s="959">
        <f>Insumos!C1200</f>
        <v>8.6722999999999999</v>
      </c>
      <c r="F983" s="959"/>
      <c r="G983" s="958">
        <f>ROUND(D983*E983,2)</f>
        <v>2.17</v>
      </c>
      <c r="H983" s="958"/>
    </row>
    <row r="984" spans="1:10">
      <c r="A984" s="398"/>
      <c r="B984" s="955" t="s">
        <v>536</v>
      </c>
      <c r="C984" s="955"/>
      <c r="D984" s="955"/>
      <c r="E984" s="389"/>
      <c r="F984" s="409"/>
      <c r="G984" s="410"/>
      <c r="H984" s="249">
        <f>SUM(G979:H981)</f>
        <v>0.2</v>
      </c>
    </row>
    <row r="985" spans="1:10">
      <c r="A985" s="398"/>
      <c r="B985" s="955" t="s">
        <v>537</v>
      </c>
      <c r="C985" s="955"/>
      <c r="D985" s="955"/>
      <c r="E985" s="389"/>
      <c r="F985" s="409"/>
      <c r="G985" s="410"/>
      <c r="H985" s="249">
        <f>SUM(G982:H983)</f>
        <v>4.7799999999999994</v>
      </c>
    </row>
    <row r="986" spans="1:10">
      <c r="A986" s="398"/>
      <c r="B986" s="955" t="s">
        <v>1937</v>
      </c>
      <c r="C986" s="955"/>
      <c r="D986" s="955"/>
      <c r="E986" s="389"/>
      <c r="F986" s="409"/>
      <c r="G986" s="410"/>
      <c r="H986" s="249">
        <f>SUM(H984:H985)</f>
        <v>4.9799999999999995</v>
      </c>
    </row>
    <row r="987" spans="1:10">
      <c r="A987" s="398"/>
      <c r="B987" s="955" t="s">
        <v>538</v>
      </c>
      <c r="C987" s="955"/>
      <c r="D987" s="955"/>
      <c r="E987" s="389"/>
      <c r="F987" s="411" t="s">
        <v>539</v>
      </c>
      <c r="G987" s="410"/>
      <c r="H987" s="249">
        <f t="shared" ref="H987" si="56">ROUND(H986*F987,2)</f>
        <v>1.24</v>
      </c>
    </row>
    <row r="988" spans="1:10">
      <c r="A988" s="398"/>
      <c r="B988" s="955" t="s">
        <v>540</v>
      </c>
      <c r="C988" s="955"/>
      <c r="D988" s="955"/>
      <c r="E988" s="389"/>
      <c r="F988" s="409"/>
      <c r="G988" s="410"/>
      <c r="H988" s="249">
        <f>SUM(H986:H987)</f>
        <v>6.22</v>
      </c>
    </row>
    <row r="989" spans="1:10" s="579" customFormat="1">
      <c r="A989" s="601"/>
      <c r="B989" s="738"/>
      <c r="C989" s="738"/>
      <c r="D989" s="738"/>
      <c r="E989" s="737"/>
      <c r="F989" s="605"/>
      <c r="G989" s="606"/>
      <c r="H989" s="597"/>
      <c r="I989" s="400"/>
      <c r="J989" s="404"/>
    </row>
    <row r="990" spans="1:10" ht="15">
      <c r="A990" s="403" t="s">
        <v>2364</v>
      </c>
      <c r="B990" s="960" t="s">
        <v>1448</v>
      </c>
      <c r="C990" s="960"/>
      <c r="D990" s="960"/>
      <c r="E990" s="960"/>
      <c r="F990" s="960"/>
      <c r="G990" s="406"/>
      <c r="H990" s="403" t="s">
        <v>15</v>
      </c>
    </row>
    <row r="991" spans="1:10">
      <c r="A991" s="398"/>
      <c r="B991" s="449" t="s">
        <v>1448</v>
      </c>
      <c r="C991" s="231" t="s">
        <v>15</v>
      </c>
      <c r="D991" s="436">
        <v>1</v>
      </c>
      <c r="E991" s="959">
        <f>Insumos!C1201</f>
        <v>86.941400000000002</v>
      </c>
      <c r="F991" s="959"/>
      <c r="G991" s="958">
        <f>D991*E991</f>
        <v>86.941400000000002</v>
      </c>
      <c r="H991" s="958"/>
    </row>
    <row r="992" spans="1:10">
      <c r="A992" s="398"/>
      <c r="B992" s="230" t="s">
        <v>686</v>
      </c>
      <c r="C992" s="231" t="s">
        <v>16</v>
      </c>
      <c r="D992" s="436">
        <v>0.32500000000000001</v>
      </c>
      <c r="E992" s="959">
        <f>Insumos!C1202</f>
        <v>0.48230000000000006</v>
      </c>
      <c r="F992" s="959"/>
      <c r="G992" s="958">
        <f>D992*E992</f>
        <v>0.15674750000000001</v>
      </c>
      <c r="H992" s="958"/>
    </row>
    <row r="993" spans="1:10">
      <c r="A993" s="398"/>
      <c r="B993" s="230" t="s">
        <v>576</v>
      </c>
      <c r="C993" s="231" t="s">
        <v>112</v>
      </c>
      <c r="D993" s="436">
        <v>0.15</v>
      </c>
      <c r="E993" s="959">
        <f>Insumos!C1203</f>
        <v>8.6722999999999999</v>
      </c>
      <c r="F993" s="959"/>
      <c r="G993" s="958">
        <f>ROUND(D993*E993,2)</f>
        <v>1.3</v>
      </c>
      <c r="H993" s="958"/>
    </row>
    <row r="994" spans="1:10">
      <c r="A994" s="398"/>
      <c r="B994" s="230" t="s">
        <v>535</v>
      </c>
      <c r="C994" s="231" t="s">
        <v>112</v>
      </c>
      <c r="D994" s="436">
        <v>0.1</v>
      </c>
      <c r="E994" s="959">
        <f>Insumos!C1204</f>
        <v>6.4064000000000005</v>
      </c>
      <c r="F994" s="959"/>
      <c r="G994" s="958">
        <f>ROUND(D994*E994,2)</f>
        <v>0.64</v>
      </c>
      <c r="H994" s="958"/>
    </row>
    <row r="995" spans="1:10">
      <c r="A995" s="398"/>
      <c r="B995" s="955" t="s">
        <v>536</v>
      </c>
      <c r="C995" s="955"/>
      <c r="D995" s="955"/>
      <c r="E995" s="389"/>
      <c r="F995" s="409"/>
      <c r="G995" s="410"/>
      <c r="H995" s="249">
        <f>SUM(G991:H992)</f>
        <v>87.098147499999996</v>
      </c>
    </row>
    <row r="996" spans="1:10">
      <c r="A996" s="398"/>
      <c r="B996" s="955" t="s">
        <v>537</v>
      </c>
      <c r="C996" s="955"/>
      <c r="D996" s="955"/>
      <c r="E996" s="389"/>
      <c r="F996" s="409"/>
      <c r="G996" s="410"/>
      <c r="H996" s="249">
        <f>SUM(G993:H994)</f>
        <v>1.94</v>
      </c>
    </row>
    <row r="997" spans="1:10">
      <c r="A997" s="398"/>
      <c r="B997" s="955" t="s">
        <v>1937</v>
      </c>
      <c r="C997" s="955"/>
      <c r="D997" s="955"/>
      <c r="E997" s="389"/>
      <c r="F997" s="409"/>
      <c r="G997" s="410"/>
      <c r="H997" s="249">
        <f>SUM(H995:H996)</f>
        <v>89.038147499999994</v>
      </c>
    </row>
    <row r="998" spans="1:10">
      <c r="A998" s="398"/>
      <c r="B998" s="955" t="s">
        <v>538</v>
      </c>
      <c r="C998" s="955"/>
      <c r="D998" s="955"/>
      <c r="E998" s="389"/>
      <c r="F998" s="411" t="s">
        <v>539</v>
      </c>
      <c r="G998" s="410"/>
      <c r="H998" s="249">
        <f t="shared" ref="H998" si="57">ROUND(H997*F998,2)</f>
        <v>22.22</v>
      </c>
    </row>
    <row r="999" spans="1:10">
      <c r="A999" s="398"/>
      <c r="B999" s="956" t="s">
        <v>540</v>
      </c>
      <c r="C999" s="956"/>
      <c r="D999" s="956"/>
      <c r="E999" s="740"/>
      <c r="F999" s="768"/>
      <c r="G999" s="769"/>
      <c r="H999" s="770">
        <f>SUM(H997:H998)</f>
        <v>111.25814749999999</v>
      </c>
    </row>
    <row r="1000" spans="1:10" s="579" customFormat="1">
      <c r="A1000" s="601"/>
      <c r="B1000" s="780"/>
      <c r="C1000" s="780"/>
      <c r="D1000" s="780"/>
      <c r="E1000" s="740"/>
      <c r="F1000" s="768"/>
      <c r="G1000" s="769"/>
      <c r="H1000" s="770"/>
      <c r="I1000" s="400"/>
      <c r="J1000" s="404"/>
    </row>
    <row r="1001" spans="1:10" ht="33" customHeight="1">
      <c r="A1001" s="403" t="s">
        <v>2365</v>
      </c>
      <c r="B1001" s="960" t="s">
        <v>2032</v>
      </c>
      <c r="C1001" s="960"/>
      <c r="D1001" s="960"/>
      <c r="E1001" s="960"/>
      <c r="F1001" s="960"/>
      <c r="G1001" s="406"/>
      <c r="H1001" s="403" t="s">
        <v>13</v>
      </c>
    </row>
    <row r="1002" spans="1:10">
      <c r="A1002" s="398"/>
      <c r="B1002" s="449" t="s">
        <v>2096</v>
      </c>
      <c r="C1002" s="231" t="s">
        <v>16</v>
      </c>
      <c r="D1002" s="474">
        <v>16.03</v>
      </c>
      <c r="E1002" s="957">
        <f>Insumos!C930</f>
        <v>0.50050000000000006</v>
      </c>
      <c r="F1002" s="957"/>
      <c r="G1002" s="958">
        <f>D1002*E1002</f>
        <v>8.0230150000000009</v>
      </c>
      <c r="H1002" s="958"/>
    </row>
    <row r="1003" spans="1:10">
      <c r="A1003" s="398"/>
      <c r="B1003" s="230" t="s">
        <v>2097</v>
      </c>
      <c r="C1003" s="231" t="s">
        <v>97</v>
      </c>
      <c r="D1003" s="474">
        <v>4.3499999999999997E-2</v>
      </c>
      <c r="E1003" s="957">
        <f>Insumos!C956</f>
        <v>31.85</v>
      </c>
      <c r="F1003" s="957"/>
      <c r="G1003" s="958">
        <f>D1003*E1003</f>
        <v>1.385475</v>
      </c>
      <c r="H1003" s="958"/>
    </row>
    <row r="1004" spans="1:10">
      <c r="A1004" s="398"/>
      <c r="B1004" s="230" t="s">
        <v>2098</v>
      </c>
      <c r="C1004" s="231" t="s">
        <v>97</v>
      </c>
      <c r="D1004" s="474">
        <v>2.8500000000000001E-2</v>
      </c>
      <c r="E1004" s="957">
        <f>Insumos!C966</f>
        <v>81.900000000000006</v>
      </c>
      <c r="F1004" s="957"/>
      <c r="G1004" s="958">
        <f t="shared" ref="G1004:G1007" si="58">D1004*E1004</f>
        <v>2.3341500000000002</v>
      </c>
      <c r="H1004" s="958"/>
    </row>
    <row r="1005" spans="1:10">
      <c r="A1005" s="398"/>
      <c r="B1005" s="230" t="s">
        <v>2099</v>
      </c>
      <c r="C1005" s="231" t="s">
        <v>97</v>
      </c>
      <c r="D1005" s="474">
        <v>2.8500000000000001E-2</v>
      </c>
      <c r="E1005" s="957">
        <f>Insumos!C967</f>
        <v>86.45</v>
      </c>
      <c r="F1005" s="957"/>
      <c r="G1005" s="958">
        <f t="shared" si="58"/>
        <v>2.4638250000000004</v>
      </c>
      <c r="H1005" s="958"/>
    </row>
    <row r="1006" spans="1:10">
      <c r="A1006" s="398"/>
      <c r="B1006" s="230" t="s">
        <v>2100</v>
      </c>
      <c r="C1006" s="231" t="s">
        <v>112</v>
      </c>
      <c r="D1006" s="474">
        <v>0.05</v>
      </c>
      <c r="E1006" s="957">
        <f>Insumos!C1229</f>
        <v>4.7774999999999999</v>
      </c>
      <c r="F1006" s="957"/>
      <c r="G1006" s="958">
        <f t="shared" si="58"/>
        <v>0.238875</v>
      </c>
      <c r="H1006" s="958"/>
    </row>
    <row r="1007" spans="1:10">
      <c r="A1007" s="398"/>
      <c r="B1007" s="230" t="s">
        <v>2101</v>
      </c>
      <c r="C1007" s="231" t="s">
        <v>15</v>
      </c>
      <c r="D1007" s="474">
        <v>2</v>
      </c>
      <c r="E1007" s="957">
        <f>Insumos!C1230</f>
        <v>1.7927</v>
      </c>
      <c r="F1007" s="957"/>
      <c r="G1007" s="958">
        <f t="shared" si="58"/>
        <v>3.5853999999999999</v>
      </c>
      <c r="H1007" s="958"/>
    </row>
    <row r="1008" spans="1:10">
      <c r="A1008" s="398"/>
      <c r="B1008" s="230" t="s">
        <v>576</v>
      </c>
      <c r="C1008" s="231" t="s">
        <v>112</v>
      </c>
      <c r="D1008" s="474">
        <v>0.2</v>
      </c>
      <c r="E1008" s="957">
        <f>Insumos!C937</f>
        <v>8.6722999999999999</v>
      </c>
      <c r="F1008" s="957"/>
      <c r="G1008" s="958">
        <f>ROUND(D1008*E1008,2)</f>
        <v>1.73</v>
      </c>
      <c r="H1008" s="958"/>
    </row>
    <row r="1009" spans="1:10">
      <c r="A1009" s="398"/>
      <c r="B1009" s="230" t="s">
        <v>535</v>
      </c>
      <c r="C1009" s="231" t="s">
        <v>112</v>
      </c>
      <c r="D1009" s="474">
        <v>0.76</v>
      </c>
      <c r="E1009" s="957">
        <f>Insumos!C929</f>
        <v>6.4064000000000005</v>
      </c>
      <c r="F1009" s="957"/>
      <c r="G1009" s="958">
        <f>ROUND(D1009*E1009,2)</f>
        <v>4.87</v>
      </c>
      <c r="H1009" s="958"/>
    </row>
    <row r="1010" spans="1:10">
      <c r="A1010" s="398"/>
      <c r="B1010" s="955" t="s">
        <v>536</v>
      </c>
      <c r="C1010" s="955"/>
      <c r="D1010" s="955"/>
      <c r="E1010" s="389"/>
      <c r="F1010" s="409"/>
      <c r="G1010" s="410"/>
      <c r="H1010" s="249">
        <f>SUM(G1002:H1007)</f>
        <v>18.030740000000002</v>
      </c>
    </row>
    <row r="1011" spans="1:10">
      <c r="A1011" s="398"/>
      <c r="B1011" s="955" t="s">
        <v>537</v>
      </c>
      <c r="C1011" s="955"/>
      <c r="D1011" s="955"/>
      <c r="E1011" s="389"/>
      <c r="F1011" s="409"/>
      <c r="G1011" s="410"/>
      <c r="H1011" s="249">
        <f>SUM(G1008:H1009)</f>
        <v>6.6</v>
      </c>
    </row>
    <row r="1012" spans="1:10">
      <c r="A1012" s="398"/>
      <c r="B1012" s="955" t="s">
        <v>1937</v>
      </c>
      <c r="C1012" s="955"/>
      <c r="D1012" s="955"/>
      <c r="E1012" s="389"/>
      <c r="F1012" s="409"/>
      <c r="G1012" s="410"/>
      <c r="H1012" s="249">
        <f>SUM(H1010:H1011)</f>
        <v>24.630740000000003</v>
      </c>
    </row>
    <row r="1013" spans="1:10">
      <c r="A1013" s="398"/>
      <c r="B1013" s="955" t="s">
        <v>538</v>
      </c>
      <c r="C1013" s="955"/>
      <c r="D1013" s="955"/>
      <c r="E1013" s="389"/>
      <c r="F1013" s="411" t="s">
        <v>539</v>
      </c>
      <c r="G1013" s="410"/>
      <c r="H1013" s="249">
        <f t="shared" ref="H1013" si="59">ROUND(H1012*F1013,2)</f>
        <v>6.15</v>
      </c>
    </row>
    <row r="1014" spans="1:10">
      <c r="A1014" s="398"/>
      <c r="B1014" s="956" t="s">
        <v>540</v>
      </c>
      <c r="C1014" s="956"/>
      <c r="D1014" s="956"/>
      <c r="E1014" s="740"/>
      <c r="F1014" s="768"/>
      <c r="G1014" s="769"/>
      <c r="H1014" s="770">
        <f>SUM(H1012:H1013)</f>
        <v>30.780740000000002</v>
      </c>
    </row>
    <row r="1015" spans="1:10" s="579" customFormat="1">
      <c r="A1015" s="601"/>
      <c r="B1015" s="780"/>
      <c r="C1015" s="780"/>
      <c r="D1015" s="780"/>
      <c r="E1015" s="740"/>
      <c r="F1015" s="768"/>
      <c r="G1015" s="769"/>
      <c r="H1015" s="770"/>
      <c r="I1015" s="400"/>
      <c r="J1015" s="404"/>
    </row>
    <row r="1016" spans="1:10" ht="40.5" customHeight="1">
      <c r="A1016" s="403" t="s">
        <v>2366</v>
      </c>
      <c r="B1016" s="960" t="s">
        <v>2095</v>
      </c>
      <c r="C1016" s="960"/>
      <c r="D1016" s="960"/>
      <c r="E1016" s="960"/>
      <c r="F1016" s="960"/>
      <c r="G1016" s="406"/>
      <c r="H1016" s="403" t="s">
        <v>15</v>
      </c>
    </row>
    <row r="1017" spans="1:10">
      <c r="A1017" s="398"/>
      <c r="B1017" s="449" t="s">
        <v>2102</v>
      </c>
      <c r="C1017" s="231" t="s">
        <v>97</v>
      </c>
      <c r="D1017" s="474">
        <v>2.5000000000000001E-3</v>
      </c>
      <c r="E1017" s="957">
        <v>340.39</v>
      </c>
      <c r="F1017" s="957"/>
      <c r="G1017" s="958">
        <f>D1017*E1017</f>
        <v>0.85097500000000004</v>
      </c>
      <c r="H1017" s="958"/>
      <c r="J1017" s="433"/>
    </row>
    <row r="1018" spans="1:10">
      <c r="A1018" s="398"/>
      <c r="B1018" s="230" t="s">
        <v>2104</v>
      </c>
      <c r="C1018" s="231" t="s">
        <v>97</v>
      </c>
      <c r="D1018" s="474">
        <v>4.2000000000000003E-2</v>
      </c>
      <c r="E1018" s="957">
        <v>275.02</v>
      </c>
      <c r="F1018" s="957"/>
      <c r="G1018" s="958">
        <f>D1018*E1018</f>
        <v>11.550839999999999</v>
      </c>
      <c r="H1018" s="958"/>
      <c r="J1018" s="433"/>
    </row>
    <row r="1019" spans="1:10" ht="22.5">
      <c r="A1019" s="398"/>
      <c r="B1019" s="230" t="s">
        <v>2105</v>
      </c>
      <c r="C1019" s="231">
        <v>2</v>
      </c>
      <c r="D1019" s="474">
        <v>0.62</v>
      </c>
      <c r="E1019" s="957">
        <v>33.9</v>
      </c>
      <c r="F1019" s="957"/>
      <c r="G1019" s="958">
        <f t="shared" ref="G1019:G1020" si="60">D1019*E1019</f>
        <v>21.018000000000001</v>
      </c>
      <c r="H1019" s="958"/>
      <c r="J1019" s="433"/>
    </row>
    <row r="1020" spans="1:10">
      <c r="A1020" s="398"/>
      <c r="B1020" s="230" t="s">
        <v>2106</v>
      </c>
      <c r="C1020" s="231" t="s">
        <v>97</v>
      </c>
      <c r="D1020" s="474">
        <v>4.2000000000000003E-2</v>
      </c>
      <c r="E1020" s="957">
        <v>72.62</v>
      </c>
      <c r="F1020" s="957"/>
      <c r="G1020" s="958">
        <f t="shared" si="60"/>
        <v>3.0500400000000005</v>
      </c>
      <c r="H1020" s="958"/>
      <c r="J1020" s="433"/>
    </row>
    <row r="1021" spans="1:10">
      <c r="A1021" s="398"/>
      <c r="B1021" s="230" t="s">
        <v>2103</v>
      </c>
      <c r="C1021" s="231" t="s">
        <v>112</v>
      </c>
      <c r="D1021" s="474">
        <v>0.08</v>
      </c>
      <c r="E1021" s="957">
        <f>8.19*1.07</f>
        <v>8.7632999999999992</v>
      </c>
      <c r="F1021" s="957"/>
      <c r="G1021" s="958">
        <f>ROUND(D1021*E1021,2)</f>
        <v>0.7</v>
      </c>
      <c r="H1021" s="958"/>
      <c r="J1021" s="433"/>
    </row>
    <row r="1022" spans="1:10">
      <c r="A1022" s="398"/>
      <c r="B1022" s="230" t="s">
        <v>535</v>
      </c>
      <c r="C1022" s="231" t="s">
        <v>112</v>
      </c>
      <c r="D1022" s="474">
        <v>0.24</v>
      </c>
      <c r="E1022" s="957">
        <f>E1009</f>
        <v>6.4064000000000005</v>
      </c>
      <c r="F1022" s="957"/>
      <c r="G1022" s="958">
        <f>ROUND(D1022*E1022,2)</f>
        <v>1.54</v>
      </c>
      <c r="H1022" s="958"/>
      <c r="J1022" s="433"/>
    </row>
    <row r="1023" spans="1:10">
      <c r="A1023" s="398"/>
      <c r="B1023" s="955" t="s">
        <v>536</v>
      </c>
      <c r="C1023" s="955"/>
      <c r="D1023" s="955"/>
      <c r="E1023" s="397"/>
      <c r="F1023" s="409"/>
      <c r="G1023" s="410"/>
      <c r="H1023" s="249">
        <f>SUM(G1017:H1020)</f>
        <v>36.469855000000003</v>
      </c>
    </row>
    <row r="1024" spans="1:10">
      <c r="A1024" s="398"/>
      <c r="B1024" s="955" t="s">
        <v>537</v>
      </c>
      <c r="C1024" s="955"/>
      <c r="D1024" s="955"/>
      <c r="E1024" s="397"/>
      <c r="F1024" s="409"/>
      <c r="G1024" s="410"/>
      <c r="H1024" s="249">
        <f>SUM(G1021:H1022)</f>
        <v>2.2400000000000002</v>
      </c>
    </row>
    <row r="1025" spans="1:10">
      <c r="A1025" s="398"/>
      <c r="B1025" s="955" t="s">
        <v>1937</v>
      </c>
      <c r="C1025" s="955"/>
      <c r="D1025" s="955"/>
      <c r="E1025" s="397"/>
      <c r="F1025" s="409"/>
      <c r="G1025" s="410"/>
      <c r="H1025" s="249">
        <f>SUM(H1023:H1024)</f>
        <v>38.709855000000005</v>
      </c>
    </row>
    <row r="1026" spans="1:10">
      <c r="A1026" s="398"/>
      <c r="B1026" s="955" t="s">
        <v>538</v>
      </c>
      <c r="C1026" s="955"/>
      <c r="D1026" s="955"/>
      <c r="E1026" s="397"/>
      <c r="F1026" s="411" t="s">
        <v>539</v>
      </c>
      <c r="G1026" s="410"/>
      <c r="H1026" s="249">
        <f t="shared" ref="H1026" si="61">ROUND(H1025*F1026,2)</f>
        <v>9.66</v>
      </c>
    </row>
    <row r="1027" spans="1:10">
      <c r="A1027" s="398"/>
      <c r="B1027" s="956" t="s">
        <v>540</v>
      </c>
      <c r="C1027" s="956"/>
      <c r="D1027" s="956"/>
      <c r="E1027" s="740"/>
      <c r="F1027" s="768"/>
      <c r="G1027" s="769"/>
      <c r="H1027" s="770">
        <f>SUM(H1025:H1026)</f>
        <v>48.369855000000001</v>
      </c>
    </row>
    <row r="1028" spans="1:10" s="579" customFormat="1">
      <c r="A1028" s="601"/>
      <c r="B1028" s="780"/>
      <c r="C1028" s="780"/>
      <c r="D1028" s="780"/>
      <c r="E1028" s="740"/>
      <c r="F1028" s="768"/>
      <c r="G1028" s="769"/>
      <c r="H1028" s="770"/>
      <c r="I1028" s="400"/>
      <c r="J1028" s="404"/>
    </row>
    <row r="1029" spans="1:10" s="169" customFormat="1" ht="15">
      <c r="A1029" s="756">
        <v>15</v>
      </c>
      <c r="B1029" s="975" t="s">
        <v>1027</v>
      </c>
      <c r="C1029" s="975"/>
      <c r="D1029" s="975"/>
      <c r="E1029" s="975"/>
      <c r="F1029" s="975"/>
      <c r="G1029" s="766"/>
      <c r="H1029" s="767"/>
      <c r="I1029" s="327"/>
      <c r="J1029" s="340"/>
    </row>
    <row r="1030" spans="1:10" ht="23.45" customHeight="1">
      <c r="A1030" s="403" t="s">
        <v>2367</v>
      </c>
      <c r="B1030" s="960" t="s">
        <v>1435</v>
      </c>
      <c r="C1030" s="960"/>
      <c r="D1030" s="960"/>
      <c r="E1030" s="960"/>
      <c r="F1030" s="960"/>
      <c r="G1030" s="406"/>
      <c r="H1030" s="403" t="s">
        <v>13</v>
      </c>
    </row>
    <row r="1031" spans="1:10">
      <c r="A1031" s="398"/>
      <c r="B1031" s="449" t="s">
        <v>1028</v>
      </c>
      <c r="C1031" s="448" t="s">
        <v>14</v>
      </c>
      <c r="D1031" s="457">
        <v>0.5</v>
      </c>
      <c r="E1031" s="988">
        <f>Insumos!C1080</f>
        <v>0.48230000000000006</v>
      </c>
      <c r="F1031" s="988"/>
      <c r="G1031" s="958">
        <f>ROUND(D1031*E1031,2)</f>
        <v>0.24</v>
      </c>
      <c r="H1031" s="958"/>
    </row>
    <row r="1032" spans="1:10">
      <c r="A1032" s="398"/>
      <c r="B1032" s="449" t="s">
        <v>1436</v>
      </c>
      <c r="C1032" s="448" t="s">
        <v>1037</v>
      </c>
      <c r="D1032" s="457">
        <v>0.19800000000000001</v>
      </c>
      <c r="E1032" s="988">
        <f>Insumos!C1081</f>
        <v>17.499300000000002</v>
      </c>
      <c r="F1032" s="988"/>
      <c r="G1032" s="958">
        <f>ROUND(D1032*E1032,2)</f>
        <v>3.46</v>
      </c>
      <c r="H1032" s="958"/>
    </row>
    <row r="1033" spans="1:10">
      <c r="A1033" s="398"/>
      <c r="B1033" s="449" t="s">
        <v>946</v>
      </c>
      <c r="C1033" s="448" t="s">
        <v>112</v>
      </c>
      <c r="D1033" s="457">
        <v>0.35</v>
      </c>
      <c r="E1033" s="988">
        <f>Insumos!C1082</f>
        <v>8.6722999999999999</v>
      </c>
      <c r="F1033" s="988"/>
      <c r="G1033" s="958">
        <f>ROUND(D1033*E1033,2)</f>
        <v>3.04</v>
      </c>
      <c r="H1033" s="958"/>
    </row>
    <row r="1034" spans="1:10">
      <c r="A1034" s="398"/>
      <c r="B1034" s="449" t="s">
        <v>509</v>
      </c>
      <c r="C1034" s="448" t="s">
        <v>112</v>
      </c>
      <c r="D1034" s="457">
        <v>0.25</v>
      </c>
      <c r="E1034" s="988">
        <f>Insumos!C1083</f>
        <v>6.4064000000000005</v>
      </c>
      <c r="F1034" s="988"/>
      <c r="G1034" s="958">
        <f>ROUND(D1034*E1034,2)</f>
        <v>1.6</v>
      </c>
      <c r="H1034" s="958"/>
    </row>
    <row r="1035" spans="1:10">
      <c r="A1035" s="398"/>
      <c r="B1035" s="955" t="s">
        <v>536</v>
      </c>
      <c r="C1035" s="955"/>
      <c r="D1035" s="955"/>
      <c r="E1035" s="389"/>
      <c r="F1035" s="409"/>
      <c r="G1035" s="410"/>
      <c r="H1035" s="249">
        <f>SUM(G1031:H1032)</f>
        <v>3.7</v>
      </c>
    </row>
    <row r="1036" spans="1:10">
      <c r="A1036" s="398"/>
      <c r="B1036" s="955" t="s">
        <v>537</v>
      </c>
      <c r="C1036" s="955"/>
      <c r="D1036" s="955"/>
      <c r="E1036" s="389"/>
      <c r="F1036" s="409"/>
      <c r="G1036" s="410"/>
      <c r="H1036" s="249">
        <f>SUM(G1033:H1034)</f>
        <v>4.6400000000000006</v>
      </c>
    </row>
    <row r="1037" spans="1:10">
      <c r="A1037" s="398"/>
      <c r="B1037" s="955" t="s">
        <v>1937</v>
      </c>
      <c r="C1037" s="955"/>
      <c r="D1037" s="955"/>
      <c r="E1037" s="389"/>
      <c r="F1037" s="409"/>
      <c r="G1037" s="410"/>
      <c r="H1037" s="249">
        <f>SUM(H1035:H1036)</f>
        <v>8.34</v>
      </c>
    </row>
    <row r="1038" spans="1:10">
      <c r="A1038" s="398"/>
      <c r="B1038" s="955" t="s">
        <v>538</v>
      </c>
      <c r="C1038" s="955"/>
      <c r="D1038" s="955"/>
      <c r="E1038" s="389"/>
      <c r="F1038" s="411" t="s">
        <v>539</v>
      </c>
      <c r="G1038" s="410"/>
      <c r="H1038" s="249">
        <f>ROUND(H1037*F1038,2)</f>
        <v>2.08</v>
      </c>
    </row>
    <row r="1039" spans="1:10">
      <c r="A1039" s="398"/>
      <c r="B1039" s="956" t="s">
        <v>540</v>
      </c>
      <c r="C1039" s="956"/>
      <c r="D1039" s="956"/>
      <c r="E1039" s="740"/>
      <c r="F1039" s="768"/>
      <c r="G1039" s="769"/>
      <c r="H1039" s="770">
        <f>SUM(H1037:H1038)</f>
        <v>10.42</v>
      </c>
    </row>
    <row r="1040" spans="1:10" s="579" customFormat="1">
      <c r="A1040" s="601"/>
      <c r="B1040" s="780"/>
      <c r="C1040" s="780"/>
      <c r="D1040" s="780"/>
      <c r="E1040" s="740"/>
      <c r="F1040" s="768"/>
      <c r="G1040" s="769"/>
      <c r="H1040" s="770"/>
      <c r="I1040" s="400"/>
      <c r="J1040" s="404"/>
    </row>
    <row r="1041" spans="1:10" ht="13.9" customHeight="1">
      <c r="A1041" s="403" t="s">
        <v>2368</v>
      </c>
      <c r="B1041" s="961" t="s">
        <v>397</v>
      </c>
      <c r="C1041" s="961"/>
      <c r="D1041" s="961"/>
      <c r="E1041" s="961"/>
      <c r="F1041" s="961"/>
      <c r="G1041" s="402"/>
      <c r="H1041" s="403" t="s">
        <v>13</v>
      </c>
    </row>
    <row r="1042" spans="1:10" s="406" customFormat="1" ht="15">
      <c r="A1042" s="398"/>
      <c r="B1042" s="230" t="s">
        <v>1029</v>
      </c>
      <c r="C1042" s="231" t="s">
        <v>612</v>
      </c>
      <c r="D1042" s="401">
        <v>9.6000000000000002E-2</v>
      </c>
      <c r="E1042" s="964">
        <f>Insumos!$C$1084</f>
        <v>2.9484000000000004</v>
      </c>
      <c r="F1042" s="964"/>
      <c r="G1042" s="958">
        <f>ROUND(D1042*E1042,2)</f>
        <v>0.28000000000000003</v>
      </c>
      <c r="H1042" s="958"/>
      <c r="I1042" s="407"/>
      <c r="J1042" s="408"/>
    </row>
    <row r="1043" spans="1:10">
      <c r="A1043" s="398"/>
      <c r="B1043" s="230" t="s">
        <v>946</v>
      </c>
      <c r="C1043" s="231" t="s">
        <v>112</v>
      </c>
      <c r="D1043" s="401">
        <v>0.1</v>
      </c>
      <c r="E1043" s="964">
        <f>Insumos!$C$1085</f>
        <v>8.6722999999999999</v>
      </c>
      <c r="F1043" s="964"/>
      <c r="G1043" s="958">
        <f>ROUND(D1043*E1043,2)</f>
        <v>0.87</v>
      </c>
      <c r="H1043" s="958"/>
    </row>
    <row r="1044" spans="1:10">
      <c r="A1044" s="398"/>
      <c r="B1044" s="230" t="s">
        <v>509</v>
      </c>
      <c r="C1044" s="231" t="s">
        <v>112</v>
      </c>
      <c r="D1044" s="401">
        <v>0.1</v>
      </c>
      <c r="E1044" s="964">
        <f>Insumos!$C$1086</f>
        <v>6.4064000000000005</v>
      </c>
      <c r="F1044" s="964"/>
      <c r="G1044" s="958">
        <f>ROUND(D1044*E1044,2)</f>
        <v>0.64</v>
      </c>
      <c r="H1044" s="958"/>
    </row>
    <row r="1045" spans="1:10">
      <c r="A1045" s="398"/>
      <c r="B1045" s="955" t="s">
        <v>536</v>
      </c>
      <c r="C1045" s="955"/>
      <c r="D1045" s="955"/>
      <c r="E1045" s="389"/>
      <c r="F1045" s="409"/>
      <c r="G1045" s="410"/>
      <c r="H1045" s="249">
        <f>SUM(G1042)</f>
        <v>0.28000000000000003</v>
      </c>
    </row>
    <row r="1046" spans="1:10">
      <c r="A1046" s="398"/>
      <c r="B1046" s="955" t="s">
        <v>537</v>
      </c>
      <c r="C1046" s="955"/>
      <c r="D1046" s="955"/>
      <c r="E1046" s="389"/>
      <c r="F1046" s="409"/>
      <c r="G1046" s="410"/>
      <c r="H1046" s="249">
        <f>SUM(G1043:H1044)</f>
        <v>1.51</v>
      </c>
    </row>
    <row r="1047" spans="1:10">
      <c r="A1047" s="398"/>
      <c r="B1047" s="955" t="s">
        <v>1937</v>
      </c>
      <c r="C1047" s="955"/>
      <c r="D1047" s="955"/>
      <c r="E1047" s="389"/>
      <c r="F1047" s="409"/>
      <c r="G1047" s="410"/>
      <c r="H1047" s="249">
        <f>SUM(H1045:H1046)</f>
        <v>1.79</v>
      </c>
    </row>
    <row r="1048" spans="1:10">
      <c r="A1048" s="398"/>
      <c r="B1048" s="955" t="s">
        <v>538</v>
      </c>
      <c r="C1048" s="955"/>
      <c r="D1048" s="955"/>
      <c r="E1048" s="389"/>
      <c r="F1048" s="411" t="s">
        <v>539</v>
      </c>
      <c r="G1048" s="410"/>
      <c r="H1048" s="249">
        <f>ROUND(H1047*F1048,2)</f>
        <v>0.45</v>
      </c>
    </row>
    <row r="1049" spans="1:10">
      <c r="A1049" s="398"/>
      <c r="B1049" s="956" t="s">
        <v>540</v>
      </c>
      <c r="C1049" s="956"/>
      <c r="D1049" s="956"/>
      <c r="E1049" s="740"/>
      <c r="F1049" s="768"/>
      <c r="G1049" s="769"/>
      <c r="H1049" s="770">
        <f>SUM(H1047:H1048)</f>
        <v>2.2400000000000002</v>
      </c>
    </row>
    <row r="1050" spans="1:10" s="579" customFormat="1">
      <c r="A1050" s="601"/>
      <c r="B1050" s="780"/>
      <c r="C1050" s="780"/>
      <c r="D1050" s="780"/>
      <c r="E1050" s="740"/>
      <c r="F1050" s="768"/>
      <c r="G1050" s="769"/>
      <c r="H1050" s="770"/>
      <c r="I1050" s="400"/>
      <c r="J1050" s="404"/>
    </row>
    <row r="1051" spans="1:10">
      <c r="A1051" s="403" t="s">
        <v>2369</v>
      </c>
      <c r="B1051" s="961" t="s">
        <v>1030</v>
      </c>
      <c r="C1051" s="961"/>
      <c r="D1051" s="961"/>
      <c r="E1051" s="961"/>
      <c r="F1051" s="961"/>
      <c r="G1051" s="402"/>
      <c r="H1051" s="403" t="s">
        <v>13</v>
      </c>
    </row>
    <row r="1052" spans="1:10">
      <c r="A1052" s="398"/>
      <c r="B1052" s="230" t="s">
        <v>1028</v>
      </c>
      <c r="C1052" s="231" t="s">
        <v>14</v>
      </c>
      <c r="D1052" s="401">
        <v>0.4</v>
      </c>
      <c r="E1052" s="964">
        <f>Insumos!$C$1087</f>
        <v>0.48230000000000006</v>
      </c>
      <c r="F1052" s="964"/>
      <c r="G1052" s="958">
        <f>ROUND(D1052*E1052,2)</f>
        <v>0.19</v>
      </c>
      <c r="H1052" s="958"/>
    </row>
    <row r="1053" spans="1:10">
      <c r="A1053" s="398"/>
      <c r="B1053" s="230" t="s">
        <v>1031</v>
      </c>
      <c r="C1053" s="231" t="s">
        <v>612</v>
      </c>
      <c r="D1053" s="401">
        <v>0.24599999999999994</v>
      </c>
      <c r="E1053" s="964">
        <f>Insumos!$C$1088</f>
        <v>10.563280000000001</v>
      </c>
      <c r="F1053" s="964"/>
      <c r="G1053" s="958">
        <f>ROUND(D1053*E1053,2)</f>
        <v>2.6</v>
      </c>
      <c r="H1053" s="958"/>
    </row>
    <row r="1054" spans="1:10">
      <c r="A1054" s="398"/>
      <c r="B1054" s="230" t="s">
        <v>946</v>
      </c>
      <c r="C1054" s="231" t="s">
        <v>112</v>
      </c>
      <c r="D1054" s="401">
        <v>0.2</v>
      </c>
      <c r="E1054" s="964">
        <f>Insumos!$C$1089</f>
        <v>8.6722999999999999</v>
      </c>
      <c r="F1054" s="964"/>
      <c r="G1054" s="958">
        <f>ROUND(D1054*E1054,2)</f>
        <v>1.73</v>
      </c>
      <c r="H1054" s="958"/>
    </row>
    <row r="1055" spans="1:10" s="406" customFormat="1" ht="15">
      <c r="A1055" s="398"/>
      <c r="B1055" s="230" t="s">
        <v>509</v>
      </c>
      <c r="C1055" s="231" t="s">
        <v>112</v>
      </c>
      <c r="D1055" s="401">
        <v>0.2</v>
      </c>
      <c r="E1055" s="964">
        <f>Insumos!$C$1090</f>
        <v>6.4064000000000005</v>
      </c>
      <c r="F1055" s="964"/>
      <c r="G1055" s="958">
        <f>ROUND(D1055*E1055,2)</f>
        <v>1.28</v>
      </c>
      <c r="H1055" s="958"/>
      <c r="I1055" s="407"/>
      <c r="J1055" s="408"/>
    </row>
    <row r="1056" spans="1:10">
      <c r="A1056" s="398"/>
      <c r="B1056" s="955" t="s">
        <v>536</v>
      </c>
      <c r="C1056" s="955"/>
      <c r="D1056" s="955"/>
      <c r="E1056" s="389"/>
      <c r="F1056" s="409"/>
      <c r="G1056" s="410"/>
      <c r="H1056" s="249">
        <f>SUM(G1052:H1053)</f>
        <v>2.79</v>
      </c>
    </row>
    <row r="1057" spans="1:10">
      <c r="A1057" s="398"/>
      <c r="B1057" s="955" t="s">
        <v>537</v>
      </c>
      <c r="C1057" s="955"/>
      <c r="D1057" s="955"/>
      <c r="E1057" s="389"/>
      <c r="F1057" s="409"/>
      <c r="G1057" s="410"/>
      <c r="H1057" s="249">
        <f>SUM(G1054:H1055)</f>
        <v>3.01</v>
      </c>
    </row>
    <row r="1058" spans="1:10">
      <c r="A1058" s="398"/>
      <c r="B1058" s="955" t="s">
        <v>1937</v>
      </c>
      <c r="C1058" s="955"/>
      <c r="D1058" s="955"/>
      <c r="E1058" s="389"/>
      <c r="F1058" s="409"/>
      <c r="G1058" s="410"/>
      <c r="H1058" s="249">
        <f>SUM(H1056:H1057)</f>
        <v>5.8</v>
      </c>
    </row>
    <row r="1059" spans="1:10">
      <c r="A1059" s="398"/>
      <c r="B1059" s="955" t="s">
        <v>538</v>
      </c>
      <c r="C1059" s="955"/>
      <c r="D1059" s="955"/>
      <c r="E1059" s="389"/>
      <c r="F1059" s="411" t="s">
        <v>539</v>
      </c>
      <c r="G1059" s="410"/>
      <c r="H1059" s="249">
        <f>ROUND(H1058*F1059,2)</f>
        <v>1.45</v>
      </c>
    </row>
    <row r="1060" spans="1:10">
      <c r="A1060" s="398"/>
      <c r="B1060" s="956" t="s">
        <v>540</v>
      </c>
      <c r="C1060" s="956"/>
      <c r="D1060" s="956"/>
      <c r="E1060" s="740"/>
      <c r="F1060" s="768"/>
      <c r="G1060" s="769"/>
      <c r="H1060" s="770">
        <f>SUM(H1058:H1059)</f>
        <v>7.25</v>
      </c>
    </row>
    <row r="1061" spans="1:10" s="579" customFormat="1">
      <c r="A1061" s="601"/>
      <c r="B1061" s="780"/>
      <c r="C1061" s="780"/>
      <c r="D1061" s="780"/>
      <c r="E1061" s="740"/>
      <c r="F1061" s="768"/>
      <c r="G1061" s="769"/>
      <c r="H1061" s="770"/>
      <c r="I1061" s="400"/>
      <c r="J1061" s="404"/>
    </row>
    <row r="1062" spans="1:10" ht="32.1" customHeight="1">
      <c r="A1062" s="403" t="s">
        <v>2370</v>
      </c>
      <c r="B1062" s="961" t="s">
        <v>1032</v>
      </c>
      <c r="C1062" s="961"/>
      <c r="D1062" s="961"/>
      <c r="E1062" s="961"/>
      <c r="F1062" s="961"/>
      <c r="G1062" s="402"/>
      <c r="H1062" s="403" t="s">
        <v>13</v>
      </c>
    </row>
    <row r="1063" spans="1:10">
      <c r="A1063" s="398"/>
      <c r="B1063" s="230" t="s">
        <v>1033</v>
      </c>
      <c r="C1063" s="231" t="s">
        <v>14</v>
      </c>
      <c r="D1063" s="401">
        <v>0.55000000000000004</v>
      </c>
      <c r="E1063" s="964">
        <f>Insumos!$C$1091</f>
        <v>2.0110999999999999</v>
      </c>
      <c r="F1063" s="964"/>
      <c r="G1063" s="958">
        <f t="shared" ref="G1063:G1068" si="62">ROUND(D1063*E1063,2)</f>
        <v>1.1100000000000001</v>
      </c>
      <c r="H1063" s="958"/>
    </row>
    <row r="1064" spans="1:10">
      <c r="A1064" s="398"/>
      <c r="B1064" s="230" t="s">
        <v>1034</v>
      </c>
      <c r="C1064" s="231" t="s">
        <v>612</v>
      </c>
      <c r="D1064" s="401">
        <v>4.3999999999999997E-2</v>
      </c>
      <c r="E1064" s="964">
        <f>Insumos!$C$1092</f>
        <v>15.47</v>
      </c>
      <c r="F1064" s="964"/>
      <c r="G1064" s="958">
        <f t="shared" si="62"/>
        <v>0.68</v>
      </c>
      <c r="H1064" s="958"/>
    </row>
    <row r="1065" spans="1:10">
      <c r="A1065" s="398"/>
      <c r="B1065" s="230" t="s">
        <v>1035</v>
      </c>
      <c r="C1065" s="231" t="s">
        <v>612</v>
      </c>
      <c r="D1065" s="401">
        <v>0.17599999999999999</v>
      </c>
      <c r="E1065" s="964">
        <f>Insumos!$C$1093</f>
        <v>11.516960000000001</v>
      </c>
      <c r="F1065" s="964"/>
      <c r="G1065" s="958">
        <f t="shared" si="62"/>
        <v>2.0299999999999998</v>
      </c>
      <c r="H1065" s="958"/>
    </row>
    <row r="1066" spans="1:10">
      <c r="A1066" s="398"/>
      <c r="B1066" s="230" t="s">
        <v>702</v>
      </c>
      <c r="C1066" s="231" t="s">
        <v>612</v>
      </c>
      <c r="D1066" s="401">
        <v>0.13100000000000001</v>
      </c>
      <c r="E1066" s="964">
        <f>Insumos!$C$1094</f>
        <v>9.90808</v>
      </c>
      <c r="F1066" s="964"/>
      <c r="G1066" s="958">
        <f t="shared" si="62"/>
        <v>1.3</v>
      </c>
      <c r="H1066" s="958"/>
    </row>
    <row r="1067" spans="1:10">
      <c r="A1067" s="398"/>
      <c r="B1067" s="230" t="s">
        <v>946</v>
      </c>
      <c r="C1067" s="231" t="s">
        <v>112</v>
      </c>
      <c r="D1067" s="401">
        <v>0.21</v>
      </c>
      <c r="E1067" s="964">
        <f>Insumos!$C$1095</f>
        <v>8.6722999999999999</v>
      </c>
      <c r="F1067" s="964"/>
      <c r="G1067" s="958">
        <f t="shared" si="62"/>
        <v>1.82</v>
      </c>
      <c r="H1067" s="958"/>
    </row>
    <row r="1068" spans="1:10">
      <c r="A1068" s="398"/>
      <c r="B1068" s="230" t="s">
        <v>509</v>
      </c>
      <c r="C1068" s="231" t="s">
        <v>112</v>
      </c>
      <c r="D1068" s="401">
        <v>0.11</v>
      </c>
      <c r="E1068" s="964">
        <f>Insumos!$C$1096</f>
        <v>6.4064000000000005</v>
      </c>
      <c r="F1068" s="964"/>
      <c r="G1068" s="958">
        <f t="shared" si="62"/>
        <v>0.7</v>
      </c>
      <c r="H1068" s="958"/>
    </row>
    <row r="1069" spans="1:10" s="406" customFormat="1" ht="15">
      <c r="A1069" s="398"/>
      <c r="B1069" s="955" t="s">
        <v>536</v>
      </c>
      <c r="C1069" s="955"/>
      <c r="D1069" s="955"/>
      <c r="E1069" s="389"/>
      <c r="F1069" s="409"/>
      <c r="G1069" s="410"/>
      <c r="H1069" s="249">
        <f>SUM(G1063:H1066)</f>
        <v>5.12</v>
      </c>
      <c r="I1069" s="407"/>
      <c r="J1069" s="408"/>
    </row>
    <row r="1070" spans="1:10">
      <c r="A1070" s="398"/>
      <c r="B1070" s="955" t="s">
        <v>537</v>
      </c>
      <c r="C1070" s="955"/>
      <c r="D1070" s="955"/>
      <c r="E1070" s="389"/>
      <c r="F1070" s="409"/>
      <c r="G1070" s="410"/>
      <c r="H1070" s="249">
        <f>SUM(G1067:H1068)</f>
        <v>2.52</v>
      </c>
    </row>
    <row r="1071" spans="1:10">
      <c r="A1071" s="398"/>
      <c r="B1071" s="955" t="s">
        <v>1937</v>
      </c>
      <c r="C1071" s="955"/>
      <c r="D1071" s="955"/>
      <c r="E1071" s="389"/>
      <c r="F1071" s="409"/>
      <c r="G1071" s="410"/>
      <c r="H1071" s="249">
        <f>SUM(H1069:H1070)</f>
        <v>7.6400000000000006</v>
      </c>
    </row>
    <row r="1072" spans="1:10">
      <c r="A1072" s="398"/>
      <c r="B1072" s="955" t="s">
        <v>538</v>
      </c>
      <c r="C1072" s="955"/>
      <c r="D1072" s="955"/>
      <c r="E1072" s="389"/>
      <c r="F1072" s="411" t="s">
        <v>539</v>
      </c>
      <c r="G1072" s="410"/>
      <c r="H1072" s="249">
        <f>ROUND(H1071*F1072,2)</f>
        <v>1.91</v>
      </c>
    </row>
    <row r="1073" spans="1:10">
      <c r="A1073" s="398"/>
      <c r="B1073" s="956" t="s">
        <v>540</v>
      </c>
      <c r="C1073" s="956"/>
      <c r="D1073" s="956"/>
      <c r="E1073" s="740"/>
      <c r="F1073" s="768"/>
      <c r="G1073" s="769"/>
      <c r="H1073" s="770">
        <f>SUM(H1071:H1072)</f>
        <v>9.5500000000000007</v>
      </c>
    </row>
    <row r="1074" spans="1:10" s="579" customFormat="1">
      <c r="A1074" s="601"/>
      <c r="B1074" s="780"/>
      <c r="C1074" s="780"/>
      <c r="D1074" s="780"/>
      <c r="E1074" s="740"/>
      <c r="F1074" s="768"/>
      <c r="G1074" s="769"/>
      <c r="H1074" s="770"/>
      <c r="I1074" s="400"/>
      <c r="J1074" s="404"/>
    </row>
    <row r="1075" spans="1:10">
      <c r="A1075" s="403" t="s">
        <v>2371</v>
      </c>
      <c r="B1075" s="961" t="s">
        <v>307</v>
      </c>
      <c r="C1075" s="961"/>
      <c r="D1075" s="961"/>
      <c r="E1075" s="961"/>
      <c r="F1075" s="961"/>
      <c r="G1075" s="402"/>
      <c r="H1075" s="403" t="s">
        <v>13</v>
      </c>
    </row>
    <row r="1076" spans="1:10">
      <c r="A1076" s="398"/>
      <c r="B1076" s="230" t="s">
        <v>702</v>
      </c>
      <c r="C1076" s="231" t="s">
        <v>1037</v>
      </c>
      <c r="D1076" s="436">
        <v>3.3399999999999999E-2</v>
      </c>
      <c r="E1076" s="964">
        <f>Insumos!C1102</f>
        <v>35.657440000000001</v>
      </c>
      <c r="F1076" s="964"/>
      <c r="G1076" s="958">
        <f t="shared" ref="G1076:G1081" si="63">ROUND(D1076*E1076,2)</f>
        <v>1.19</v>
      </c>
      <c r="H1076" s="958"/>
    </row>
    <row r="1077" spans="1:10">
      <c r="A1077" s="398"/>
      <c r="B1077" s="230" t="s">
        <v>1039</v>
      </c>
      <c r="C1077" s="231" t="s">
        <v>1037</v>
      </c>
      <c r="D1077" s="436">
        <v>0.04</v>
      </c>
      <c r="E1077" s="964">
        <f>Insumos!C1103</f>
        <v>36.4</v>
      </c>
      <c r="F1077" s="964"/>
      <c r="G1077" s="958">
        <f t="shared" si="63"/>
        <v>1.46</v>
      </c>
      <c r="H1077" s="958"/>
    </row>
    <row r="1078" spans="1:10">
      <c r="A1078" s="398"/>
      <c r="B1078" s="230" t="s">
        <v>1038</v>
      </c>
      <c r="C1078" s="231" t="s">
        <v>612</v>
      </c>
      <c r="D1078" s="436">
        <v>0.03</v>
      </c>
      <c r="E1078" s="964">
        <f>Insumos!C1104</f>
        <v>7.6712999999999996</v>
      </c>
      <c r="F1078" s="964"/>
      <c r="G1078" s="958">
        <f t="shared" si="63"/>
        <v>0.23</v>
      </c>
      <c r="H1078" s="958"/>
    </row>
    <row r="1079" spans="1:10">
      <c r="A1079" s="398"/>
      <c r="B1079" s="230" t="s">
        <v>1033</v>
      </c>
      <c r="C1079" s="231" t="s">
        <v>14</v>
      </c>
      <c r="D1079" s="436">
        <v>0.28799999999999998</v>
      </c>
      <c r="E1079" s="964">
        <f>Insumos!C1105</f>
        <v>2.0110999999999999</v>
      </c>
      <c r="F1079" s="964"/>
      <c r="G1079" s="958">
        <f t="shared" si="63"/>
        <v>0.57999999999999996</v>
      </c>
      <c r="H1079" s="958"/>
    </row>
    <row r="1080" spans="1:10">
      <c r="A1080" s="398"/>
      <c r="B1080" s="230" t="s">
        <v>509</v>
      </c>
      <c r="C1080" s="231" t="s">
        <v>112</v>
      </c>
      <c r="D1080" s="436">
        <v>0.8</v>
      </c>
      <c r="E1080" s="964">
        <f>Insumos!C1106</f>
        <v>6.4064000000000005</v>
      </c>
      <c r="F1080" s="964"/>
      <c r="G1080" s="958">
        <f t="shared" si="63"/>
        <v>5.13</v>
      </c>
      <c r="H1080" s="958"/>
    </row>
    <row r="1081" spans="1:10" s="406" customFormat="1" ht="15">
      <c r="A1081" s="398"/>
      <c r="B1081" s="230" t="s">
        <v>946</v>
      </c>
      <c r="C1081" s="231" t="s">
        <v>112</v>
      </c>
      <c r="D1081" s="436">
        <v>0.8</v>
      </c>
      <c r="E1081" s="964">
        <f>Insumos!C1107</f>
        <v>8.6722999999999999</v>
      </c>
      <c r="F1081" s="964"/>
      <c r="G1081" s="958">
        <f t="shared" si="63"/>
        <v>6.94</v>
      </c>
      <c r="H1081" s="958"/>
      <c r="I1081" s="407"/>
      <c r="J1081" s="408"/>
    </row>
    <row r="1082" spans="1:10">
      <c r="A1082" s="398"/>
      <c r="B1082" s="955" t="s">
        <v>536</v>
      </c>
      <c r="C1082" s="955"/>
      <c r="D1082" s="955"/>
      <c r="E1082" s="389"/>
      <c r="F1082" s="409"/>
      <c r="G1082" s="410"/>
      <c r="H1082" s="249">
        <f>SUM(G1076:H1079)</f>
        <v>3.46</v>
      </c>
    </row>
    <row r="1083" spans="1:10">
      <c r="A1083" s="398"/>
      <c r="B1083" s="955" t="s">
        <v>537</v>
      </c>
      <c r="C1083" s="955"/>
      <c r="D1083" s="955"/>
      <c r="E1083" s="389"/>
      <c r="F1083" s="409"/>
      <c r="G1083" s="410"/>
      <c r="H1083" s="249">
        <f>SUM(G1080:H1081)</f>
        <v>12.07</v>
      </c>
    </row>
    <row r="1084" spans="1:10">
      <c r="A1084" s="398"/>
      <c r="B1084" s="955" t="s">
        <v>1937</v>
      </c>
      <c r="C1084" s="955"/>
      <c r="D1084" s="955"/>
      <c r="E1084" s="389"/>
      <c r="F1084" s="409"/>
      <c r="G1084" s="410"/>
      <c r="H1084" s="249">
        <f>SUM(H1082:H1083)</f>
        <v>15.530000000000001</v>
      </c>
    </row>
    <row r="1085" spans="1:10">
      <c r="A1085" s="398"/>
      <c r="B1085" s="955" t="s">
        <v>538</v>
      </c>
      <c r="C1085" s="955"/>
      <c r="D1085" s="955"/>
      <c r="E1085" s="389"/>
      <c r="F1085" s="411" t="s">
        <v>539</v>
      </c>
      <c r="G1085" s="410"/>
      <c r="H1085" s="249">
        <f>ROUND(H1084*F1085,2)</f>
        <v>3.88</v>
      </c>
    </row>
    <row r="1086" spans="1:10">
      <c r="A1086" s="398"/>
      <c r="B1086" s="956" t="s">
        <v>540</v>
      </c>
      <c r="C1086" s="956"/>
      <c r="D1086" s="956"/>
      <c r="E1086" s="740"/>
      <c r="F1086" s="768"/>
      <c r="G1086" s="769"/>
      <c r="H1086" s="770">
        <f>SUM(H1084:H1085)</f>
        <v>19.41</v>
      </c>
    </row>
    <row r="1087" spans="1:10" s="579" customFormat="1">
      <c r="A1087" s="601"/>
      <c r="B1087" s="780"/>
      <c r="C1087" s="780"/>
      <c r="D1087" s="780"/>
      <c r="E1087" s="740"/>
      <c r="F1087" s="768"/>
      <c r="G1087" s="769"/>
      <c r="H1087" s="770"/>
      <c r="I1087" s="400"/>
      <c r="J1087" s="404"/>
    </row>
    <row r="1088" spans="1:10" ht="15">
      <c r="A1088" s="403" t="s">
        <v>2372</v>
      </c>
      <c r="B1088" s="961" t="s">
        <v>1040</v>
      </c>
      <c r="C1088" s="961"/>
      <c r="D1088" s="961"/>
      <c r="E1088" s="961"/>
      <c r="F1088" s="961"/>
      <c r="G1088" s="406"/>
      <c r="H1088" s="403" t="s">
        <v>15</v>
      </c>
    </row>
    <row r="1089" spans="1:10">
      <c r="A1089" s="398"/>
      <c r="B1089" s="230" t="s">
        <v>1041</v>
      </c>
      <c r="C1089" s="231" t="s">
        <v>14</v>
      </c>
      <c r="D1089" s="436">
        <v>0.02</v>
      </c>
      <c r="E1089" s="964">
        <f>Insumos!C1108</f>
        <v>4.3589000000000002</v>
      </c>
      <c r="F1089" s="964"/>
      <c r="G1089" s="958">
        <f>ROUND(D1089*E1089,2)</f>
        <v>0.09</v>
      </c>
      <c r="H1089" s="958"/>
    </row>
    <row r="1090" spans="1:10">
      <c r="A1090" s="398"/>
      <c r="B1090" s="230" t="s">
        <v>1042</v>
      </c>
      <c r="C1090" s="231" t="s">
        <v>612</v>
      </c>
      <c r="D1090" s="436">
        <v>2.8799999999999999E-2</v>
      </c>
      <c r="E1090" s="964">
        <f>Insumos!C1109</f>
        <v>9.218300000000001</v>
      </c>
      <c r="F1090" s="964"/>
      <c r="G1090" s="958">
        <f>ROUND(D1090*E1090,2)</f>
        <v>0.27</v>
      </c>
      <c r="H1090" s="958"/>
    </row>
    <row r="1091" spans="1:10">
      <c r="A1091" s="398"/>
      <c r="B1091" s="230" t="s">
        <v>509</v>
      </c>
      <c r="C1091" s="231" t="s">
        <v>112</v>
      </c>
      <c r="D1091" s="436">
        <v>0.5</v>
      </c>
      <c r="E1091" s="964">
        <f>Insumos!C1110</f>
        <v>6.4064000000000005</v>
      </c>
      <c r="F1091" s="964"/>
      <c r="G1091" s="958">
        <f>ROUND(D1091*E1091,2)</f>
        <v>3.2</v>
      </c>
      <c r="H1091" s="958"/>
    </row>
    <row r="1092" spans="1:10">
      <c r="A1092" s="398"/>
      <c r="B1092" s="230" t="s">
        <v>946</v>
      </c>
      <c r="C1092" s="231" t="s">
        <v>112</v>
      </c>
      <c r="D1092" s="436">
        <v>0.1</v>
      </c>
      <c r="E1092" s="964">
        <f>Insumos!C1111</f>
        <v>8.6722999999999999</v>
      </c>
      <c r="F1092" s="964"/>
      <c r="G1092" s="958">
        <f>ROUND(D1092*E1092,2)</f>
        <v>0.87</v>
      </c>
      <c r="H1092" s="958"/>
    </row>
    <row r="1093" spans="1:10">
      <c r="A1093" s="398"/>
      <c r="B1093" s="955" t="s">
        <v>536</v>
      </c>
      <c r="C1093" s="955"/>
      <c r="D1093" s="955"/>
      <c r="E1093" s="389"/>
      <c r="F1093" s="409"/>
      <c r="G1093" s="410"/>
      <c r="H1093" s="249">
        <f>SUM(G1089:H1090)</f>
        <v>0.36</v>
      </c>
    </row>
    <row r="1094" spans="1:10" s="406" customFormat="1" ht="15">
      <c r="A1094" s="398"/>
      <c r="B1094" s="955" t="s">
        <v>537</v>
      </c>
      <c r="C1094" s="955"/>
      <c r="D1094" s="955"/>
      <c r="E1094" s="389"/>
      <c r="F1094" s="409"/>
      <c r="G1094" s="410"/>
      <c r="H1094" s="249">
        <f>SUM(G1091:H1092)</f>
        <v>4.07</v>
      </c>
      <c r="I1094" s="407"/>
      <c r="J1094" s="408"/>
    </row>
    <row r="1095" spans="1:10">
      <c r="A1095" s="398"/>
      <c r="B1095" s="955" t="s">
        <v>1937</v>
      </c>
      <c r="C1095" s="955"/>
      <c r="D1095" s="955"/>
      <c r="E1095" s="389"/>
      <c r="F1095" s="409"/>
      <c r="G1095" s="410"/>
      <c r="H1095" s="249">
        <f>SUM(H1093:H1094)</f>
        <v>4.4300000000000006</v>
      </c>
    </row>
    <row r="1096" spans="1:10">
      <c r="A1096" s="398"/>
      <c r="B1096" s="955" t="s">
        <v>538</v>
      </c>
      <c r="C1096" s="955"/>
      <c r="D1096" s="955"/>
      <c r="E1096" s="389"/>
      <c r="F1096" s="411" t="s">
        <v>539</v>
      </c>
      <c r="G1096" s="410"/>
      <c r="H1096" s="249">
        <f>ROUND(H1095*F1096,2)</f>
        <v>1.1100000000000001</v>
      </c>
    </row>
    <row r="1097" spans="1:10">
      <c r="A1097" s="398"/>
      <c r="B1097" s="956" t="s">
        <v>540</v>
      </c>
      <c r="C1097" s="956"/>
      <c r="D1097" s="956"/>
      <c r="E1097" s="740"/>
      <c r="F1097" s="768"/>
      <c r="G1097" s="769"/>
      <c r="H1097" s="770">
        <f>SUM(H1095:H1096)</f>
        <v>5.5400000000000009</v>
      </c>
    </row>
    <row r="1098" spans="1:10" s="579" customFormat="1">
      <c r="A1098" s="601"/>
      <c r="B1098" s="780"/>
      <c r="C1098" s="780"/>
      <c r="D1098" s="780"/>
      <c r="E1098" s="740"/>
      <c r="F1098" s="768"/>
      <c r="G1098" s="769"/>
      <c r="H1098" s="770"/>
      <c r="I1098" s="400"/>
      <c r="J1098" s="404"/>
    </row>
    <row r="1099" spans="1:10">
      <c r="A1099" s="403" t="s">
        <v>2373</v>
      </c>
      <c r="B1099" s="961" t="s">
        <v>2052</v>
      </c>
      <c r="C1099" s="961"/>
      <c r="D1099" s="961"/>
      <c r="E1099" s="961"/>
      <c r="F1099" s="961"/>
      <c r="G1099" s="402"/>
      <c r="H1099" s="403" t="s">
        <v>13</v>
      </c>
    </row>
    <row r="1100" spans="1:10">
      <c r="A1100" s="398"/>
      <c r="B1100" s="230" t="s">
        <v>1320</v>
      </c>
      <c r="C1100" s="231"/>
      <c r="D1100" s="401">
        <v>0.52529999999999999</v>
      </c>
      <c r="E1100" s="964">
        <f>Insumos!C1112</f>
        <v>27.054300000000001</v>
      </c>
      <c r="F1100" s="964"/>
      <c r="G1100" s="958">
        <f>ROUND(D1100*E1100,2)</f>
        <v>14.21</v>
      </c>
      <c r="H1100" s="958"/>
    </row>
    <row r="1101" spans="1:10">
      <c r="A1101" s="398"/>
      <c r="B1101" s="230" t="s">
        <v>509</v>
      </c>
      <c r="C1101" s="231" t="s">
        <v>112</v>
      </c>
      <c r="D1101" s="401">
        <v>0.5</v>
      </c>
      <c r="E1101" s="964">
        <f>Insumos!C1113</f>
        <v>6.4064000000000005</v>
      </c>
      <c r="F1101" s="964"/>
      <c r="G1101" s="958">
        <f>ROUND(D1101*E1101,2)</f>
        <v>3.2</v>
      </c>
      <c r="H1101" s="958"/>
    </row>
    <row r="1102" spans="1:10">
      <c r="A1102" s="398"/>
      <c r="B1102" s="230" t="s">
        <v>576</v>
      </c>
      <c r="C1102" s="231" t="s">
        <v>112</v>
      </c>
      <c r="D1102" s="401">
        <v>0.5</v>
      </c>
      <c r="E1102" s="964">
        <f>Insumos!C1114</f>
        <v>8.6722999999999999</v>
      </c>
      <c r="F1102" s="964"/>
      <c r="G1102" s="958">
        <f>ROUND(D1102*E1102,2)</f>
        <v>4.34</v>
      </c>
      <c r="H1102" s="958"/>
    </row>
    <row r="1103" spans="1:10">
      <c r="A1103" s="398"/>
      <c r="B1103" s="955" t="s">
        <v>536</v>
      </c>
      <c r="C1103" s="955"/>
      <c r="D1103" s="955"/>
      <c r="E1103" s="389"/>
      <c r="F1103" s="409"/>
      <c r="G1103" s="410"/>
      <c r="H1103" s="249">
        <f>SUM(G1100:H1100)</f>
        <v>14.21</v>
      </c>
    </row>
    <row r="1104" spans="1:10">
      <c r="A1104" s="398"/>
      <c r="B1104" s="955" t="s">
        <v>537</v>
      </c>
      <c r="C1104" s="955"/>
      <c r="D1104" s="955"/>
      <c r="E1104" s="389"/>
      <c r="F1104" s="409"/>
      <c r="G1104" s="410"/>
      <c r="H1104" s="249">
        <f>SUM(G1101:H1102)</f>
        <v>7.54</v>
      </c>
    </row>
    <row r="1105" spans="1:10">
      <c r="A1105" s="398"/>
      <c r="B1105" s="955" t="s">
        <v>1937</v>
      </c>
      <c r="C1105" s="955"/>
      <c r="D1105" s="955"/>
      <c r="E1105" s="389"/>
      <c r="F1105" s="409"/>
      <c r="G1105" s="410"/>
      <c r="H1105" s="249">
        <f>SUM(H1103:H1104)</f>
        <v>21.75</v>
      </c>
    </row>
    <row r="1106" spans="1:10" s="406" customFormat="1" ht="15">
      <c r="A1106" s="398"/>
      <c r="B1106" s="955" t="s">
        <v>538</v>
      </c>
      <c r="C1106" s="955"/>
      <c r="D1106" s="955"/>
      <c r="E1106" s="389"/>
      <c r="F1106" s="411" t="s">
        <v>539</v>
      </c>
      <c r="G1106" s="410"/>
      <c r="H1106" s="249">
        <f>ROUND(H1105*F1106,2)</f>
        <v>5.43</v>
      </c>
      <c r="I1106" s="407"/>
      <c r="J1106" s="408"/>
    </row>
    <row r="1107" spans="1:10">
      <c r="A1107" s="398"/>
      <c r="B1107" s="956" t="s">
        <v>540</v>
      </c>
      <c r="C1107" s="956"/>
      <c r="D1107" s="956"/>
      <c r="E1107" s="740"/>
      <c r="F1107" s="768"/>
      <c r="G1107" s="769"/>
      <c r="H1107" s="770">
        <f>SUM(H1105:H1106)</f>
        <v>27.18</v>
      </c>
    </row>
    <row r="1108" spans="1:10" ht="0.75" customHeight="1">
      <c r="A1108" s="398"/>
      <c r="B1108" s="230"/>
      <c r="C1108" s="423"/>
      <c r="D1108" s="423"/>
      <c r="E1108" s="389"/>
      <c r="F1108" s="409"/>
      <c r="G1108" s="410"/>
      <c r="H1108" s="249"/>
    </row>
    <row r="1109" spans="1:10" ht="31.5" customHeight="1">
      <c r="A1109" s="398"/>
      <c r="B1109" s="230"/>
      <c r="C1109" s="423"/>
      <c r="D1109" s="423"/>
      <c r="E1109" s="389"/>
      <c r="F1109" s="409"/>
      <c r="G1109" s="410"/>
      <c r="H1109" s="249"/>
    </row>
    <row r="1110" spans="1:10" s="579" customFormat="1" ht="14.25" customHeight="1">
      <c r="A1110" s="601"/>
      <c r="B1110" s="595"/>
      <c r="C1110" s="738"/>
      <c r="D1110" s="738"/>
      <c r="E1110" s="737"/>
      <c r="F1110" s="605"/>
      <c r="G1110" s="606"/>
      <c r="H1110" s="597"/>
      <c r="I1110" s="400"/>
      <c r="J1110" s="404"/>
    </row>
    <row r="1111" spans="1:10" s="167" customFormat="1">
      <c r="A1111" s="756">
        <v>16</v>
      </c>
      <c r="B1111" s="975" t="s">
        <v>639</v>
      </c>
      <c r="C1111" s="975"/>
      <c r="D1111" s="975"/>
      <c r="E1111" s="975"/>
      <c r="F1111" s="975"/>
      <c r="G1111" s="766"/>
      <c r="H1111" s="767"/>
      <c r="I1111" s="326"/>
      <c r="J1111" s="344"/>
    </row>
    <row r="1112" spans="1:10" s="406" customFormat="1" ht="15">
      <c r="A1112" s="403" t="s">
        <v>910</v>
      </c>
      <c r="B1112" s="961" t="s">
        <v>640</v>
      </c>
      <c r="C1112" s="961"/>
      <c r="D1112" s="961"/>
      <c r="E1112" s="961"/>
      <c r="F1112" s="961"/>
      <c r="H1112" s="403" t="s">
        <v>13</v>
      </c>
      <c r="I1112" s="407"/>
      <c r="J1112" s="408"/>
    </row>
    <row r="1113" spans="1:10">
      <c r="A1113" s="398"/>
      <c r="B1113" s="230" t="s">
        <v>641</v>
      </c>
      <c r="C1113" s="231" t="s">
        <v>16</v>
      </c>
      <c r="D1113" s="436">
        <v>15.28</v>
      </c>
      <c r="E1113" s="964">
        <f>Insumos!C172</f>
        <v>3.5308000000000002</v>
      </c>
      <c r="F1113" s="964"/>
      <c r="G1113" s="958">
        <f t="shared" ref="G1113:G1120" si="64">ROUND(D1113*E1113,2)</f>
        <v>53.95</v>
      </c>
      <c r="H1113" s="958"/>
    </row>
    <row r="1114" spans="1:10">
      <c r="A1114" s="398"/>
      <c r="B1114" s="230" t="s">
        <v>642</v>
      </c>
      <c r="C1114" s="231" t="s">
        <v>16</v>
      </c>
      <c r="D1114" s="436">
        <v>8.26</v>
      </c>
      <c r="E1114" s="964">
        <f>Insumos!C173</f>
        <v>4.9686000000000003</v>
      </c>
      <c r="F1114" s="964"/>
      <c r="G1114" s="958">
        <f t="shared" si="64"/>
        <v>41.04</v>
      </c>
      <c r="H1114" s="958"/>
    </row>
    <row r="1115" spans="1:10">
      <c r="A1115" s="398"/>
      <c r="B1115" s="230" t="s">
        <v>1489</v>
      </c>
      <c r="C1115" s="231" t="s">
        <v>16</v>
      </c>
      <c r="D1115" s="436">
        <v>4.5999999999999996</v>
      </c>
      <c r="E1115" s="964">
        <f>Insumos!C174</f>
        <v>0.50050000000000006</v>
      </c>
      <c r="F1115" s="964"/>
      <c r="G1115" s="958">
        <f t="shared" si="64"/>
        <v>2.2999999999999998</v>
      </c>
      <c r="H1115" s="958"/>
    </row>
    <row r="1116" spans="1:10">
      <c r="A1116" s="398"/>
      <c r="B1116" s="230" t="s">
        <v>643</v>
      </c>
      <c r="C1116" s="231" t="s">
        <v>16</v>
      </c>
      <c r="D1116" s="436">
        <v>0.98</v>
      </c>
      <c r="E1116" s="964">
        <f>Insumos!C175</f>
        <v>1.0465</v>
      </c>
      <c r="F1116" s="964"/>
      <c r="G1116" s="958">
        <f t="shared" si="64"/>
        <v>1.03</v>
      </c>
      <c r="H1116" s="958"/>
    </row>
    <row r="1117" spans="1:10">
      <c r="A1117" s="398"/>
      <c r="B1117" s="230" t="s">
        <v>618</v>
      </c>
      <c r="C1117" s="231" t="s">
        <v>97</v>
      </c>
      <c r="D1117" s="436">
        <v>2.5000000000000001E-2</v>
      </c>
      <c r="E1117" s="964">
        <f>Insumos!C176</f>
        <v>31.85</v>
      </c>
      <c r="F1117" s="964"/>
      <c r="G1117" s="958">
        <f t="shared" si="64"/>
        <v>0.8</v>
      </c>
      <c r="H1117" s="958"/>
    </row>
    <row r="1118" spans="1:10">
      <c r="A1118" s="398"/>
      <c r="B1118" s="230" t="s">
        <v>644</v>
      </c>
      <c r="C1118" s="231" t="s">
        <v>16</v>
      </c>
      <c r="D1118" s="436">
        <v>5.097450000000002</v>
      </c>
      <c r="E1118" s="964">
        <f>Insumos!C177</f>
        <v>3.3670000000000004</v>
      </c>
      <c r="F1118" s="964"/>
      <c r="G1118" s="958">
        <f t="shared" si="64"/>
        <v>17.16</v>
      </c>
      <c r="H1118" s="958"/>
    </row>
    <row r="1119" spans="1:10">
      <c r="A1119" s="398"/>
      <c r="B1119" s="230" t="s">
        <v>535</v>
      </c>
      <c r="C1119" s="231" t="s">
        <v>112</v>
      </c>
      <c r="D1119" s="436">
        <v>1.5</v>
      </c>
      <c r="E1119" s="959">
        <f>Insumos!C178</f>
        <v>6.4064000000000005</v>
      </c>
      <c r="F1119" s="959"/>
      <c r="G1119" s="958">
        <f t="shared" si="64"/>
        <v>9.61</v>
      </c>
      <c r="H1119" s="958"/>
    </row>
    <row r="1120" spans="1:10">
      <c r="A1120" s="398"/>
      <c r="B1120" s="230" t="s">
        <v>576</v>
      </c>
      <c r="C1120" s="231" t="s">
        <v>112</v>
      </c>
      <c r="D1120" s="436">
        <v>1.5</v>
      </c>
      <c r="E1120" s="959">
        <f>Insumos!C179</f>
        <v>8.6722999999999999</v>
      </c>
      <c r="F1120" s="959"/>
      <c r="G1120" s="958">
        <f t="shared" si="64"/>
        <v>13.01</v>
      </c>
      <c r="H1120" s="958"/>
    </row>
    <row r="1121" spans="1:10">
      <c r="A1121" s="398"/>
      <c r="B1121" s="955" t="s">
        <v>536</v>
      </c>
      <c r="C1121" s="955"/>
      <c r="D1121" s="955"/>
      <c r="E1121" s="389"/>
      <c r="F1121" s="409"/>
      <c r="G1121" s="410"/>
      <c r="H1121" s="249">
        <f>SUM(G1113:H1118)</f>
        <v>116.28</v>
      </c>
    </row>
    <row r="1122" spans="1:10">
      <c r="A1122" s="398"/>
      <c r="B1122" s="955" t="s">
        <v>537</v>
      </c>
      <c r="C1122" s="955"/>
      <c r="D1122" s="955"/>
      <c r="E1122" s="389"/>
      <c r="F1122" s="409"/>
      <c r="G1122" s="410"/>
      <c r="H1122" s="249">
        <f>SUM(G1119:H1120)</f>
        <v>22.619999999999997</v>
      </c>
    </row>
    <row r="1123" spans="1:10">
      <c r="A1123" s="398"/>
      <c r="B1123" s="955" t="s">
        <v>1937</v>
      </c>
      <c r="C1123" s="955"/>
      <c r="D1123" s="955"/>
      <c r="E1123" s="389"/>
      <c r="F1123" s="409"/>
      <c r="G1123" s="410"/>
      <c r="H1123" s="249">
        <f>SUM(H1121:H1122)</f>
        <v>138.9</v>
      </c>
    </row>
    <row r="1124" spans="1:10">
      <c r="A1124" s="398"/>
      <c r="B1124" s="955" t="s">
        <v>538</v>
      </c>
      <c r="C1124" s="955"/>
      <c r="D1124" s="955"/>
      <c r="E1124" s="389"/>
      <c r="F1124" s="411" t="s">
        <v>539</v>
      </c>
      <c r="G1124" s="410"/>
      <c r="H1124" s="249">
        <f>ROUND(H1123*F1124,2)</f>
        <v>34.67</v>
      </c>
    </row>
    <row r="1125" spans="1:10">
      <c r="A1125" s="398"/>
      <c r="B1125" s="956" t="s">
        <v>540</v>
      </c>
      <c r="C1125" s="956"/>
      <c r="D1125" s="956"/>
      <c r="E1125" s="740"/>
      <c r="F1125" s="768"/>
      <c r="G1125" s="769"/>
      <c r="H1125" s="770">
        <f>SUM(H1123:H1124)</f>
        <v>173.57</v>
      </c>
    </row>
    <row r="1126" spans="1:10" s="579" customFormat="1">
      <c r="A1126" s="601"/>
      <c r="B1126" s="780"/>
      <c r="C1126" s="780"/>
      <c r="D1126" s="780"/>
      <c r="E1126" s="740"/>
      <c r="F1126" s="768"/>
      <c r="G1126" s="769"/>
      <c r="H1126" s="770"/>
      <c r="I1126" s="400"/>
      <c r="J1126" s="404"/>
    </row>
    <row r="1127" spans="1:10" s="406" customFormat="1" ht="28.15" customHeight="1">
      <c r="A1127" s="403" t="s">
        <v>918</v>
      </c>
      <c r="B1127" s="961" t="s">
        <v>645</v>
      </c>
      <c r="C1127" s="961"/>
      <c r="D1127" s="961"/>
      <c r="E1127" s="961"/>
      <c r="F1127" s="961"/>
      <c r="H1127" s="403" t="s">
        <v>14</v>
      </c>
      <c r="I1127" s="407"/>
      <c r="J1127" s="408"/>
    </row>
    <row r="1128" spans="1:10">
      <c r="A1128" s="398"/>
      <c r="B1128" s="230" t="s">
        <v>646</v>
      </c>
      <c r="C1128" s="231" t="s">
        <v>553</v>
      </c>
      <c r="D1128" s="436">
        <v>1</v>
      </c>
      <c r="E1128" s="964">
        <f>Insumos!C180</f>
        <v>67.021500000000003</v>
      </c>
      <c r="F1128" s="964"/>
      <c r="G1128" s="958">
        <f>ROUND(D1128*E1128,2)</f>
        <v>67.02</v>
      </c>
      <c r="H1128" s="958"/>
    </row>
    <row r="1129" spans="1:10">
      <c r="A1129" s="398"/>
      <c r="B1129" s="230" t="s">
        <v>511</v>
      </c>
      <c r="C1129" s="231" t="s">
        <v>112</v>
      </c>
      <c r="D1129" s="436">
        <v>1.2983793333333378</v>
      </c>
      <c r="E1129" s="959">
        <f>Insumos!C181</f>
        <v>8.5449000000000002</v>
      </c>
      <c r="F1129" s="959"/>
      <c r="G1129" s="958">
        <f>ROUND(D1129*E1129,2)</f>
        <v>11.09</v>
      </c>
      <c r="H1129" s="958"/>
    </row>
    <row r="1130" spans="1:10">
      <c r="A1130" s="398"/>
      <c r="B1130" s="230" t="s">
        <v>510</v>
      </c>
      <c r="C1130" s="231" t="s">
        <v>112</v>
      </c>
      <c r="D1130" s="436">
        <v>1.3</v>
      </c>
      <c r="E1130" s="959">
        <f>Insumos!C182</f>
        <v>6.5065000000000008</v>
      </c>
      <c r="F1130" s="959"/>
      <c r="G1130" s="958">
        <f>ROUND(D1130*E1130,2)</f>
        <v>8.4600000000000009</v>
      </c>
      <c r="H1130" s="958"/>
    </row>
    <row r="1131" spans="1:10">
      <c r="A1131" s="398"/>
      <c r="B1131" s="955" t="s">
        <v>536</v>
      </c>
      <c r="C1131" s="955"/>
      <c r="D1131" s="955"/>
      <c r="E1131" s="389"/>
      <c r="F1131" s="409"/>
      <c r="G1131" s="410"/>
      <c r="H1131" s="249">
        <f>SUM(G1128)</f>
        <v>67.02</v>
      </c>
    </row>
    <row r="1132" spans="1:10">
      <c r="A1132" s="398"/>
      <c r="B1132" s="955" t="s">
        <v>537</v>
      </c>
      <c r="C1132" s="955"/>
      <c r="D1132" s="955"/>
      <c r="E1132" s="389"/>
      <c r="F1132" s="409"/>
      <c r="G1132" s="410"/>
      <c r="H1132" s="249">
        <f>SUM(G1129:H1130)</f>
        <v>19.55</v>
      </c>
    </row>
    <row r="1133" spans="1:10">
      <c r="A1133" s="398"/>
      <c r="B1133" s="955" t="s">
        <v>1937</v>
      </c>
      <c r="C1133" s="955"/>
      <c r="D1133" s="955"/>
      <c r="E1133" s="389"/>
      <c r="F1133" s="409"/>
      <c r="G1133" s="410"/>
      <c r="H1133" s="249">
        <f>SUM(H1131:H1132)</f>
        <v>86.57</v>
      </c>
    </row>
    <row r="1134" spans="1:10">
      <c r="A1134" s="398"/>
      <c r="B1134" s="955" t="s">
        <v>538</v>
      </c>
      <c r="C1134" s="955"/>
      <c r="D1134" s="955"/>
      <c r="E1134" s="389"/>
      <c r="F1134" s="411" t="s">
        <v>539</v>
      </c>
      <c r="G1134" s="410"/>
      <c r="H1134" s="249">
        <f>ROUND(H1133*F1134,2)</f>
        <v>21.61</v>
      </c>
    </row>
    <row r="1135" spans="1:10">
      <c r="A1135" s="398"/>
      <c r="B1135" s="956" t="s">
        <v>540</v>
      </c>
      <c r="C1135" s="956"/>
      <c r="D1135" s="956"/>
      <c r="E1135" s="740"/>
      <c r="F1135" s="768"/>
      <c r="G1135" s="769"/>
      <c r="H1135" s="770">
        <f>SUM(H1133:H1134)</f>
        <v>108.17999999999999</v>
      </c>
    </row>
    <row r="1136" spans="1:10" s="579" customFormat="1">
      <c r="A1136" s="601"/>
      <c r="B1136" s="780"/>
      <c r="C1136" s="780"/>
      <c r="D1136" s="780"/>
      <c r="E1136" s="740"/>
      <c r="F1136" s="768"/>
      <c r="G1136" s="769"/>
      <c r="H1136" s="770"/>
      <c r="I1136" s="400"/>
      <c r="J1136" s="404"/>
    </row>
    <row r="1137" spans="1:10" s="406" customFormat="1" ht="15">
      <c r="A1137" s="403" t="s">
        <v>937</v>
      </c>
      <c r="B1137" s="961" t="s">
        <v>647</v>
      </c>
      <c r="C1137" s="961"/>
      <c r="D1137" s="961"/>
      <c r="E1137" s="961"/>
      <c r="F1137" s="961"/>
      <c r="H1137" s="403" t="s">
        <v>14</v>
      </c>
      <c r="I1137" s="407"/>
      <c r="J1137" s="408"/>
    </row>
    <row r="1138" spans="1:10">
      <c r="A1138" s="398"/>
      <c r="B1138" s="230" t="s">
        <v>648</v>
      </c>
      <c r="C1138" s="231" t="s">
        <v>14</v>
      </c>
      <c r="D1138" s="401">
        <v>1</v>
      </c>
      <c r="E1138" s="959">
        <f>Insumos!C183</f>
        <v>3.3761000000000001</v>
      </c>
      <c r="F1138" s="959"/>
      <c r="G1138" s="958">
        <f>ROUND(D1138*E1138,2)</f>
        <v>3.38</v>
      </c>
      <c r="H1138" s="958"/>
    </row>
    <row r="1139" spans="1:10">
      <c r="A1139" s="398"/>
      <c r="B1139" s="230" t="s">
        <v>511</v>
      </c>
      <c r="C1139" s="231" t="s">
        <v>112</v>
      </c>
      <c r="D1139" s="401">
        <v>0.30199999999999999</v>
      </c>
      <c r="E1139" s="959">
        <f>Insumos!C184</f>
        <v>8.5449000000000002</v>
      </c>
      <c r="F1139" s="959"/>
      <c r="G1139" s="958">
        <f>ROUND(D1139*E1139,2)</f>
        <v>2.58</v>
      </c>
      <c r="H1139" s="958"/>
    </row>
    <row r="1140" spans="1:10">
      <c r="A1140" s="398"/>
      <c r="B1140" s="230" t="s">
        <v>510</v>
      </c>
      <c r="C1140" s="231" t="s">
        <v>112</v>
      </c>
      <c r="D1140" s="401">
        <v>0.3</v>
      </c>
      <c r="E1140" s="959">
        <f>Insumos!C185</f>
        <v>6.5065000000000008</v>
      </c>
      <c r="F1140" s="959"/>
      <c r="G1140" s="958">
        <f>ROUND(D1140*E1140,2)</f>
        <v>1.95</v>
      </c>
      <c r="H1140" s="958"/>
    </row>
    <row r="1141" spans="1:10">
      <c r="A1141" s="398"/>
      <c r="B1141" s="955" t="s">
        <v>536</v>
      </c>
      <c r="C1141" s="955"/>
      <c r="D1141" s="955"/>
      <c r="E1141" s="389"/>
      <c r="F1141" s="409"/>
      <c r="G1141" s="410"/>
      <c r="H1141" s="249">
        <f>SUM(G1138)</f>
        <v>3.38</v>
      </c>
    </row>
    <row r="1142" spans="1:10">
      <c r="A1142" s="398"/>
      <c r="B1142" s="955" t="s">
        <v>537</v>
      </c>
      <c r="C1142" s="955"/>
      <c r="D1142" s="955"/>
      <c r="E1142" s="389"/>
      <c r="F1142" s="409"/>
      <c r="G1142" s="410"/>
      <c r="H1142" s="249">
        <f>SUM(G1139:H1140)</f>
        <v>4.53</v>
      </c>
    </row>
    <row r="1143" spans="1:10">
      <c r="A1143" s="398"/>
      <c r="B1143" s="955" t="s">
        <v>1937</v>
      </c>
      <c r="C1143" s="955"/>
      <c r="D1143" s="955"/>
      <c r="E1143" s="389"/>
      <c r="F1143" s="409"/>
      <c r="G1143" s="410"/>
      <c r="H1143" s="249">
        <f>SUM(H1141:H1142)</f>
        <v>7.91</v>
      </c>
    </row>
    <row r="1144" spans="1:10">
      <c r="A1144" s="398"/>
      <c r="B1144" s="955" t="s">
        <v>538</v>
      </c>
      <c r="C1144" s="955"/>
      <c r="D1144" s="955"/>
      <c r="E1144" s="389"/>
      <c r="F1144" s="411" t="s">
        <v>539</v>
      </c>
      <c r="G1144" s="410"/>
      <c r="H1144" s="249">
        <f>ROUND(H1143*F1144,2)</f>
        <v>1.97</v>
      </c>
    </row>
    <row r="1145" spans="1:10">
      <c r="A1145" s="398"/>
      <c r="B1145" s="956" t="s">
        <v>540</v>
      </c>
      <c r="C1145" s="956"/>
      <c r="D1145" s="956"/>
      <c r="E1145" s="740"/>
      <c r="F1145" s="768"/>
      <c r="G1145" s="769"/>
      <c r="H1145" s="770">
        <f>SUM(H1143:H1144)</f>
        <v>9.8800000000000008</v>
      </c>
    </row>
    <row r="1146" spans="1:10" s="579" customFormat="1">
      <c r="A1146" s="601"/>
      <c r="B1146" s="780"/>
      <c r="C1146" s="780"/>
      <c r="D1146" s="780"/>
      <c r="E1146" s="740"/>
      <c r="F1146" s="768"/>
      <c r="G1146" s="769"/>
      <c r="H1146" s="770"/>
      <c r="I1146" s="400"/>
      <c r="J1146" s="404"/>
    </row>
    <row r="1147" spans="1:10" s="406" customFormat="1" ht="15">
      <c r="A1147" s="403" t="s">
        <v>2374</v>
      </c>
      <c r="B1147" s="961" t="s">
        <v>649</v>
      </c>
      <c r="C1147" s="961"/>
      <c r="D1147" s="961"/>
      <c r="E1147" s="961"/>
      <c r="F1147" s="961"/>
      <c r="H1147" s="403" t="s">
        <v>13</v>
      </c>
      <c r="I1147" s="407"/>
      <c r="J1147" s="408"/>
    </row>
    <row r="1148" spans="1:10">
      <c r="A1148" s="398"/>
      <c r="B1148" s="230" t="s">
        <v>544</v>
      </c>
      <c r="C1148" s="231" t="s">
        <v>97</v>
      </c>
      <c r="D1148" s="436">
        <v>0.02</v>
      </c>
      <c r="E1148" s="959">
        <f>Insumos!C186</f>
        <v>40.950000000000003</v>
      </c>
      <c r="F1148" s="959"/>
      <c r="G1148" s="958">
        <f>ROUND(D1148*E1148,2)</f>
        <v>0.82</v>
      </c>
      <c r="H1148" s="958"/>
    </row>
    <row r="1149" spans="1:10">
      <c r="A1149" s="398"/>
      <c r="B1149" s="230" t="s">
        <v>650</v>
      </c>
      <c r="C1149" s="231" t="s">
        <v>13</v>
      </c>
      <c r="D1149" s="436">
        <v>1.0999160305343514</v>
      </c>
      <c r="E1149" s="959">
        <f>Insumos!C187</f>
        <v>187.60560000000001</v>
      </c>
      <c r="F1149" s="959"/>
      <c r="G1149" s="958">
        <f>ROUND(D1149*E1149,2)</f>
        <v>206.35</v>
      </c>
      <c r="H1149" s="958"/>
    </row>
    <row r="1150" spans="1:10">
      <c r="A1150" s="398"/>
      <c r="B1150" s="230" t="s">
        <v>549</v>
      </c>
      <c r="C1150" s="231" t="s">
        <v>16</v>
      </c>
      <c r="D1150" s="436">
        <v>2.11</v>
      </c>
      <c r="E1150" s="959">
        <f>Insumos!C188</f>
        <v>0.50050000000000006</v>
      </c>
      <c r="F1150" s="959"/>
      <c r="G1150" s="958">
        <f>ROUND(D1150*E1150,2)</f>
        <v>1.06</v>
      </c>
      <c r="H1150" s="958"/>
    </row>
    <row r="1151" spans="1:10">
      <c r="A1151" s="398"/>
      <c r="B1151" s="230" t="s">
        <v>576</v>
      </c>
      <c r="C1151" s="231" t="s">
        <v>112</v>
      </c>
      <c r="D1151" s="436">
        <v>0.98885714285716453</v>
      </c>
      <c r="E1151" s="959">
        <f>Insumos!C189</f>
        <v>8.6722999999999999</v>
      </c>
      <c r="F1151" s="959"/>
      <c r="G1151" s="958">
        <f>ROUND(D1151*E1151,2)</f>
        <v>8.58</v>
      </c>
      <c r="H1151" s="958"/>
    </row>
    <row r="1152" spans="1:10">
      <c r="A1152" s="398"/>
      <c r="B1152" s="230" t="s">
        <v>535</v>
      </c>
      <c r="C1152" s="231" t="s">
        <v>112</v>
      </c>
      <c r="D1152" s="436">
        <v>1</v>
      </c>
      <c r="E1152" s="959">
        <f>Insumos!C190</f>
        <v>6.4064000000000005</v>
      </c>
      <c r="F1152" s="959"/>
      <c r="G1152" s="958">
        <f>ROUND(D1152*E1152,2)</f>
        <v>6.41</v>
      </c>
      <c r="H1152" s="958"/>
    </row>
    <row r="1153" spans="1:10">
      <c r="A1153" s="398"/>
      <c r="B1153" s="955" t="s">
        <v>536</v>
      </c>
      <c r="C1153" s="955"/>
      <c r="D1153" s="955"/>
      <c r="E1153" s="389"/>
      <c r="F1153" s="409"/>
      <c r="G1153" s="410"/>
      <c r="H1153" s="249">
        <f>SUM(G1148:H1150)</f>
        <v>208.23</v>
      </c>
    </row>
    <row r="1154" spans="1:10">
      <c r="A1154" s="398"/>
      <c r="B1154" s="955" t="s">
        <v>537</v>
      </c>
      <c r="C1154" s="955"/>
      <c r="D1154" s="955"/>
      <c r="E1154" s="389"/>
      <c r="F1154" s="409"/>
      <c r="G1154" s="410"/>
      <c r="H1154" s="249">
        <f>SUM(G1151:H1152)</f>
        <v>14.99</v>
      </c>
    </row>
    <row r="1155" spans="1:10">
      <c r="A1155" s="398"/>
      <c r="B1155" s="955" t="s">
        <v>1937</v>
      </c>
      <c r="C1155" s="955"/>
      <c r="D1155" s="955"/>
      <c r="E1155" s="389"/>
      <c r="F1155" s="409"/>
      <c r="G1155" s="410"/>
      <c r="H1155" s="249">
        <f>SUM(H1153:H1154)</f>
        <v>223.22</v>
      </c>
    </row>
    <row r="1156" spans="1:10">
      <c r="A1156" s="398"/>
      <c r="B1156" s="955" t="s">
        <v>538</v>
      </c>
      <c r="C1156" s="955"/>
      <c r="D1156" s="955"/>
      <c r="E1156" s="389"/>
      <c r="F1156" s="411" t="s">
        <v>539</v>
      </c>
      <c r="G1156" s="410"/>
      <c r="H1156" s="249">
        <f>ROUND(H1155*F1156,2)</f>
        <v>55.72</v>
      </c>
    </row>
    <row r="1157" spans="1:10">
      <c r="A1157" s="398"/>
      <c r="B1157" s="956" t="s">
        <v>540</v>
      </c>
      <c r="C1157" s="956"/>
      <c r="D1157" s="956"/>
      <c r="E1157" s="740"/>
      <c r="F1157" s="768"/>
      <c r="G1157" s="769"/>
      <c r="H1157" s="770">
        <f>SUM(H1155:H1156)</f>
        <v>278.94</v>
      </c>
    </row>
    <row r="1158" spans="1:10" s="579" customFormat="1">
      <c r="A1158" s="601"/>
      <c r="B1158" s="780"/>
      <c r="C1158" s="780"/>
      <c r="D1158" s="780"/>
      <c r="E1158" s="740"/>
      <c r="F1158" s="768"/>
      <c r="G1158" s="769"/>
      <c r="H1158" s="770"/>
      <c r="I1158" s="400"/>
      <c r="J1158" s="404"/>
    </row>
    <row r="1159" spans="1:10" s="406" customFormat="1" ht="15">
      <c r="A1159" s="403" t="s">
        <v>2375</v>
      </c>
      <c r="B1159" s="960" t="s">
        <v>1452</v>
      </c>
      <c r="C1159" s="960"/>
      <c r="D1159" s="960"/>
      <c r="E1159" s="960"/>
      <c r="F1159" s="960"/>
      <c r="H1159" s="403" t="s">
        <v>15</v>
      </c>
      <c r="I1159" s="407"/>
      <c r="J1159" s="408"/>
    </row>
    <row r="1160" spans="1:10">
      <c r="A1160" s="398"/>
      <c r="B1160" s="230" t="s">
        <v>549</v>
      </c>
      <c r="C1160" s="231" t="s">
        <v>16</v>
      </c>
      <c r="D1160" s="401">
        <v>0.1618</v>
      </c>
      <c r="E1160" s="964">
        <f>Insumos!C191</f>
        <v>0.50050000000000006</v>
      </c>
      <c r="F1160" s="964"/>
      <c r="G1160" s="958">
        <f t="shared" ref="G1160:G1165" si="65">ROUND(D1160*E1160,2)</f>
        <v>0.08</v>
      </c>
      <c r="H1160" s="958"/>
    </row>
    <row r="1161" spans="1:10">
      <c r="A1161" s="398"/>
      <c r="B1161" s="230" t="s">
        <v>1046</v>
      </c>
      <c r="C1161" s="231" t="s">
        <v>15</v>
      </c>
      <c r="D1161" s="401">
        <v>4.1656000000000004</v>
      </c>
      <c r="E1161" s="964">
        <f>Insumos!C192</f>
        <v>21.2212</v>
      </c>
      <c r="F1161" s="964"/>
      <c r="G1161" s="958">
        <f t="shared" si="65"/>
        <v>88.4</v>
      </c>
      <c r="H1161" s="958"/>
    </row>
    <row r="1162" spans="1:10">
      <c r="A1162" s="398"/>
      <c r="B1162" s="230" t="s">
        <v>618</v>
      </c>
      <c r="C1162" s="231" t="s">
        <v>97</v>
      </c>
      <c r="D1162" s="401">
        <v>1.1999999999999999E-3</v>
      </c>
      <c r="E1162" s="964">
        <f>Insumos!C193</f>
        <v>31.85</v>
      </c>
      <c r="F1162" s="964"/>
      <c r="G1162" s="958">
        <f t="shared" si="65"/>
        <v>0.04</v>
      </c>
      <c r="H1162" s="958"/>
    </row>
    <row r="1163" spans="1:10">
      <c r="A1163" s="398"/>
      <c r="B1163" s="230" t="s">
        <v>576</v>
      </c>
      <c r="C1163" s="231" t="s">
        <v>112</v>
      </c>
      <c r="D1163" s="401">
        <v>0.17780000000000001</v>
      </c>
      <c r="E1163" s="959">
        <f>Insumos!C194</f>
        <v>8.6722999999999999</v>
      </c>
      <c r="F1163" s="959"/>
      <c r="G1163" s="958">
        <f t="shared" si="65"/>
        <v>1.54</v>
      </c>
      <c r="H1163" s="958"/>
    </row>
    <row r="1164" spans="1:10">
      <c r="A1164" s="398"/>
      <c r="B1164" s="230" t="s">
        <v>631</v>
      </c>
      <c r="C1164" s="231" t="s">
        <v>112</v>
      </c>
      <c r="D1164" s="401">
        <v>9.89</v>
      </c>
      <c r="E1164" s="959">
        <f>Insumos!C195</f>
        <v>8.19</v>
      </c>
      <c r="F1164" s="959"/>
      <c r="G1164" s="958">
        <f t="shared" si="65"/>
        <v>81</v>
      </c>
      <c r="H1164" s="958"/>
    </row>
    <row r="1165" spans="1:10">
      <c r="A1165" s="398"/>
      <c r="B1165" s="230" t="s">
        <v>535</v>
      </c>
      <c r="C1165" s="231" t="s">
        <v>112</v>
      </c>
      <c r="D1165" s="401">
        <v>0.14000000000000001</v>
      </c>
      <c r="E1165" s="959">
        <f>Insumos!C196</f>
        <v>6.4064000000000005</v>
      </c>
      <c r="F1165" s="959"/>
      <c r="G1165" s="958">
        <f t="shared" si="65"/>
        <v>0.9</v>
      </c>
      <c r="H1165" s="958"/>
    </row>
    <row r="1166" spans="1:10">
      <c r="A1166" s="398"/>
      <c r="B1166" s="955" t="s">
        <v>536</v>
      </c>
      <c r="C1166" s="955"/>
      <c r="D1166" s="955"/>
      <c r="E1166" s="389"/>
      <c r="F1166" s="409"/>
      <c r="G1166" s="410"/>
      <c r="H1166" s="249">
        <f>SUM(G1160:H1162)</f>
        <v>88.52000000000001</v>
      </c>
    </row>
    <row r="1167" spans="1:10">
      <c r="A1167" s="398"/>
      <c r="B1167" s="955" t="s">
        <v>537</v>
      </c>
      <c r="C1167" s="955"/>
      <c r="D1167" s="955"/>
      <c r="E1167" s="389"/>
      <c r="F1167" s="409"/>
      <c r="G1167" s="410"/>
      <c r="H1167" s="249">
        <f>SUM(G1163:H1165)</f>
        <v>83.440000000000012</v>
      </c>
    </row>
    <row r="1168" spans="1:10">
      <c r="A1168" s="398"/>
      <c r="B1168" s="955" t="s">
        <v>1937</v>
      </c>
      <c r="C1168" s="955"/>
      <c r="D1168" s="955"/>
      <c r="E1168" s="389"/>
      <c r="F1168" s="409"/>
      <c r="G1168" s="410"/>
      <c r="H1168" s="249">
        <f>SUM(H1166:H1167)</f>
        <v>171.96000000000004</v>
      </c>
    </row>
    <row r="1169" spans="1:10">
      <c r="A1169" s="398"/>
      <c r="B1169" s="955" t="s">
        <v>538</v>
      </c>
      <c r="C1169" s="955"/>
      <c r="D1169" s="955"/>
      <c r="E1169" s="389"/>
      <c r="F1169" s="411" t="s">
        <v>539</v>
      </c>
      <c r="G1169" s="410"/>
      <c r="H1169" s="249">
        <f>ROUND(H1168*F1169,2)</f>
        <v>42.92</v>
      </c>
    </row>
    <row r="1170" spans="1:10">
      <c r="A1170" s="398"/>
      <c r="B1170" s="956" t="s">
        <v>540</v>
      </c>
      <c r="C1170" s="956"/>
      <c r="D1170" s="956"/>
      <c r="E1170" s="740"/>
      <c r="F1170" s="768"/>
      <c r="G1170" s="769"/>
      <c r="H1170" s="770">
        <f>SUM(H1168:H1169)</f>
        <v>214.88000000000005</v>
      </c>
    </row>
    <row r="1171" spans="1:10" s="579" customFormat="1">
      <c r="A1171" s="601"/>
      <c r="B1171" s="780"/>
      <c r="C1171" s="780"/>
      <c r="D1171" s="780"/>
      <c r="E1171" s="740"/>
      <c r="F1171" s="768"/>
      <c r="G1171" s="769"/>
      <c r="H1171" s="770"/>
      <c r="I1171" s="400"/>
      <c r="J1171" s="404"/>
    </row>
    <row r="1172" spans="1:10" s="406" customFormat="1" ht="15">
      <c r="A1172" s="403" t="s">
        <v>2376</v>
      </c>
      <c r="B1172" s="961" t="s">
        <v>1047</v>
      </c>
      <c r="C1172" s="961"/>
      <c r="D1172" s="961"/>
      <c r="E1172" s="961"/>
      <c r="F1172" s="961"/>
      <c r="H1172" s="403" t="s">
        <v>15</v>
      </c>
      <c r="I1172" s="407"/>
      <c r="J1172" s="408"/>
    </row>
    <row r="1173" spans="1:10">
      <c r="A1173" s="398"/>
      <c r="B1173" s="230" t="s">
        <v>590</v>
      </c>
      <c r="C1173" s="231" t="s">
        <v>15</v>
      </c>
      <c r="D1173" s="401">
        <v>1</v>
      </c>
      <c r="E1173" s="964">
        <f>Insumos!C197</f>
        <v>39.2301</v>
      </c>
      <c r="F1173" s="964"/>
      <c r="G1173" s="958">
        <f>ROUND(D1173*E1173,2)</f>
        <v>39.229999999999997</v>
      </c>
      <c r="H1173" s="958"/>
    </row>
    <row r="1174" spans="1:10">
      <c r="A1174" s="398"/>
      <c r="B1174" s="230" t="s">
        <v>1048</v>
      </c>
      <c r="C1174" s="231" t="s">
        <v>14</v>
      </c>
      <c r="D1174" s="401">
        <v>2</v>
      </c>
      <c r="E1174" s="964">
        <f>Insumos!C198</f>
        <v>3.5672000000000001</v>
      </c>
      <c r="F1174" s="964"/>
      <c r="G1174" s="958">
        <f>ROUND(D1174*E1174,2)</f>
        <v>7.13</v>
      </c>
      <c r="H1174" s="958"/>
    </row>
    <row r="1175" spans="1:10">
      <c r="A1175" s="398"/>
      <c r="B1175" s="230" t="s">
        <v>1049</v>
      </c>
      <c r="C1175" s="231" t="s">
        <v>97</v>
      </c>
      <c r="D1175" s="401">
        <v>3.0000000000000001E-3</v>
      </c>
      <c r="E1175" s="964">
        <f>Insumos!C199</f>
        <v>347.21960000000001</v>
      </c>
      <c r="F1175" s="964"/>
      <c r="G1175" s="958">
        <f>ROUND(D1175*E1175,2)</f>
        <v>1.04</v>
      </c>
      <c r="H1175" s="958"/>
    </row>
    <row r="1176" spans="1:10">
      <c r="A1176" s="398"/>
      <c r="B1176" s="230" t="s">
        <v>535</v>
      </c>
      <c r="C1176" s="231" t="s">
        <v>112</v>
      </c>
      <c r="D1176" s="401">
        <v>1.6</v>
      </c>
      <c r="E1176" s="959">
        <f>Insumos!C200</f>
        <v>6.4064000000000005</v>
      </c>
      <c r="F1176" s="959"/>
      <c r="G1176" s="958">
        <f>ROUND(D1176*E1176,2)</f>
        <v>10.25</v>
      </c>
      <c r="H1176" s="958"/>
    </row>
    <row r="1177" spans="1:10">
      <c r="A1177" s="398"/>
      <c r="B1177" s="955" t="s">
        <v>536</v>
      </c>
      <c r="C1177" s="955"/>
      <c r="D1177" s="955"/>
      <c r="E1177" s="389"/>
      <c r="F1177" s="409"/>
      <c r="G1177" s="410"/>
      <c r="H1177" s="249">
        <f>SUM(G1173:H1175)</f>
        <v>47.4</v>
      </c>
    </row>
    <row r="1178" spans="1:10">
      <c r="A1178" s="398"/>
      <c r="B1178" s="955" t="s">
        <v>537</v>
      </c>
      <c r="C1178" s="955"/>
      <c r="D1178" s="955"/>
      <c r="E1178" s="389"/>
      <c r="F1178" s="409"/>
      <c r="G1178" s="410"/>
      <c r="H1178" s="249">
        <f>SUM(G1176:H1176)</f>
        <v>10.25</v>
      </c>
    </row>
    <row r="1179" spans="1:10">
      <c r="A1179" s="398"/>
      <c r="B1179" s="955" t="s">
        <v>1937</v>
      </c>
      <c r="C1179" s="955"/>
      <c r="D1179" s="955"/>
      <c r="E1179" s="389"/>
      <c r="F1179" s="409"/>
      <c r="G1179" s="410"/>
      <c r="H1179" s="249">
        <f>SUM(H1177:H1178)</f>
        <v>57.65</v>
      </c>
    </row>
    <row r="1180" spans="1:10">
      <c r="A1180" s="398"/>
      <c r="B1180" s="955" t="s">
        <v>538</v>
      </c>
      <c r="C1180" s="955"/>
      <c r="D1180" s="955"/>
      <c r="E1180" s="389"/>
      <c r="F1180" s="411" t="s">
        <v>539</v>
      </c>
      <c r="G1180" s="410"/>
      <c r="H1180" s="249">
        <f>ROUND(H1179*F1180,2)</f>
        <v>14.39</v>
      </c>
    </row>
    <row r="1181" spans="1:10">
      <c r="A1181" s="398"/>
      <c r="B1181" s="956" t="s">
        <v>540</v>
      </c>
      <c r="C1181" s="956"/>
      <c r="D1181" s="956"/>
      <c r="E1181" s="740"/>
      <c r="F1181" s="768"/>
      <c r="G1181" s="769"/>
      <c r="H1181" s="770">
        <f>SUM(H1179:H1180)</f>
        <v>72.039999999999992</v>
      </c>
    </row>
    <row r="1182" spans="1:10" s="579" customFormat="1">
      <c r="A1182" s="601"/>
      <c r="B1182" s="780"/>
      <c r="C1182" s="780"/>
      <c r="D1182" s="780"/>
      <c r="E1182" s="740"/>
      <c r="F1182" s="768"/>
      <c r="G1182" s="769"/>
      <c r="H1182" s="770"/>
      <c r="I1182" s="400"/>
      <c r="J1182" s="404"/>
    </row>
    <row r="1183" spans="1:10" s="406" customFormat="1" ht="15">
      <c r="A1183" s="403" t="s">
        <v>2377</v>
      </c>
      <c r="B1183" s="961" t="s">
        <v>1050</v>
      </c>
      <c r="C1183" s="961"/>
      <c r="D1183" s="961"/>
      <c r="E1183" s="961"/>
      <c r="F1183" s="961"/>
      <c r="H1183" s="403" t="s">
        <v>13</v>
      </c>
      <c r="I1183" s="407"/>
      <c r="J1183" s="408"/>
    </row>
    <row r="1184" spans="1:10">
      <c r="A1184" s="398"/>
      <c r="B1184" s="230" t="s">
        <v>1051</v>
      </c>
      <c r="C1184" s="231" t="s">
        <v>16</v>
      </c>
      <c r="D1184" s="436">
        <v>54.951231527093597</v>
      </c>
      <c r="E1184" s="959">
        <f>Insumos!C202</f>
        <v>3.1668000000000003</v>
      </c>
      <c r="F1184" s="959"/>
      <c r="G1184" s="958">
        <f>ROUND(D1184*E1184,2)</f>
        <v>174.02</v>
      </c>
      <c r="H1184" s="958"/>
    </row>
    <row r="1185" spans="1:10">
      <c r="A1185" s="398"/>
      <c r="B1185" s="230" t="s">
        <v>1052</v>
      </c>
      <c r="C1185" s="231" t="s">
        <v>97</v>
      </c>
      <c r="D1185" s="436">
        <v>3.0000000000000001E-3</v>
      </c>
      <c r="E1185" s="959">
        <f>Insumos!C203</f>
        <v>236.65460000000002</v>
      </c>
      <c r="F1185" s="959"/>
      <c r="G1185" s="958">
        <f>ROUND(D1185*E1185,2)</f>
        <v>0.71</v>
      </c>
      <c r="H1185" s="958"/>
    </row>
    <row r="1186" spans="1:10">
      <c r="A1186" s="398"/>
      <c r="B1186" s="230" t="s">
        <v>535</v>
      </c>
      <c r="C1186" s="231" t="s">
        <v>112</v>
      </c>
      <c r="D1186" s="436">
        <v>1.5859567393251681</v>
      </c>
      <c r="E1186" s="959">
        <f>Insumos!C204</f>
        <v>6.4064000000000005</v>
      </c>
      <c r="F1186" s="959"/>
      <c r="G1186" s="958">
        <f>ROUND(D1186*E1186,2)</f>
        <v>10.16</v>
      </c>
      <c r="H1186" s="958"/>
    </row>
    <row r="1187" spans="1:10">
      <c r="A1187" s="398"/>
      <c r="B1187" s="230" t="s">
        <v>631</v>
      </c>
      <c r="C1187" s="231" t="s">
        <v>112</v>
      </c>
      <c r="D1187" s="436">
        <v>1.6</v>
      </c>
      <c r="E1187" s="959">
        <f>Insumos!C205</f>
        <v>8.19</v>
      </c>
      <c r="F1187" s="959"/>
      <c r="G1187" s="958">
        <f>ROUND(D1187*E1187,2)</f>
        <v>13.1</v>
      </c>
      <c r="H1187" s="958"/>
    </row>
    <row r="1188" spans="1:10">
      <c r="A1188" s="398"/>
      <c r="B1188" s="955" t="s">
        <v>536</v>
      </c>
      <c r="C1188" s="955"/>
      <c r="D1188" s="955"/>
      <c r="E1188" s="389"/>
      <c r="F1188" s="409"/>
      <c r="G1188" s="410"/>
      <c r="H1188" s="249">
        <f>SUM(G1184:H1185)</f>
        <v>174.73000000000002</v>
      </c>
    </row>
    <row r="1189" spans="1:10">
      <c r="A1189" s="398"/>
      <c r="B1189" s="955" t="s">
        <v>537</v>
      </c>
      <c r="C1189" s="955"/>
      <c r="D1189" s="955"/>
      <c r="E1189" s="389"/>
      <c r="F1189" s="409"/>
      <c r="G1189" s="410"/>
      <c r="H1189" s="249">
        <f>SUM(G1186:H1187)</f>
        <v>23.259999999999998</v>
      </c>
    </row>
    <row r="1190" spans="1:10">
      <c r="A1190" s="398"/>
      <c r="B1190" s="955" t="s">
        <v>1937</v>
      </c>
      <c r="C1190" s="955"/>
      <c r="D1190" s="955"/>
      <c r="E1190" s="389"/>
      <c r="F1190" s="409"/>
      <c r="G1190" s="410"/>
      <c r="H1190" s="249">
        <f>SUM(H1188:H1189)</f>
        <v>197.99</v>
      </c>
    </row>
    <row r="1191" spans="1:10">
      <c r="A1191" s="398"/>
      <c r="B1191" s="955" t="s">
        <v>538</v>
      </c>
      <c r="C1191" s="955"/>
      <c r="D1191" s="955"/>
      <c r="E1191" s="389"/>
      <c r="F1191" s="411" t="s">
        <v>539</v>
      </c>
      <c r="G1191" s="410"/>
      <c r="H1191" s="249">
        <f>ROUND(H1190*F1191,2)</f>
        <v>49.42</v>
      </c>
    </row>
    <row r="1192" spans="1:10">
      <c r="A1192" s="398"/>
      <c r="B1192" s="956" t="s">
        <v>540</v>
      </c>
      <c r="C1192" s="956"/>
      <c r="D1192" s="956"/>
      <c r="E1192" s="740"/>
      <c r="F1192" s="768"/>
      <c r="G1192" s="769"/>
      <c r="H1192" s="770">
        <f>SUM(H1190:H1191)</f>
        <v>247.41000000000003</v>
      </c>
    </row>
    <row r="1193" spans="1:10" s="579" customFormat="1">
      <c r="A1193" s="601"/>
      <c r="B1193" s="780"/>
      <c r="C1193" s="780"/>
      <c r="D1193" s="780"/>
      <c r="E1193" s="740"/>
      <c r="F1193" s="768"/>
      <c r="G1193" s="769"/>
      <c r="H1193" s="770"/>
      <c r="I1193" s="400"/>
      <c r="J1193" s="404"/>
    </row>
    <row r="1194" spans="1:10" ht="24.6" customHeight="1">
      <c r="A1194" s="403" t="s">
        <v>2378</v>
      </c>
      <c r="B1194" s="961" t="s">
        <v>1373</v>
      </c>
      <c r="C1194" s="961"/>
      <c r="D1194" s="961"/>
      <c r="E1194" s="961"/>
      <c r="F1194" s="961"/>
      <c r="G1194" s="406"/>
      <c r="H1194" s="403" t="s">
        <v>13</v>
      </c>
    </row>
    <row r="1195" spans="1:10">
      <c r="A1195" s="398"/>
      <c r="B1195" s="230" t="s">
        <v>1374</v>
      </c>
      <c r="C1195" s="231" t="s">
        <v>13</v>
      </c>
      <c r="D1195" s="357">
        <v>1</v>
      </c>
      <c r="E1195" s="957">
        <f>Insumos!C206</f>
        <v>514.15</v>
      </c>
      <c r="F1195" s="957">
        <v>365.78</v>
      </c>
      <c r="G1195" s="958">
        <f t="shared" ref="G1195:G1199" si="66">ROUND(D1195*E1195,2)</f>
        <v>514.15</v>
      </c>
      <c r="H1195" s="958"/>
    </row>
    <row r="1196" spans="1:10">
      <c r="A1196" s="398"/>
      <c r="B1196" s="230" t="s">
        <v>1049</v>
      </c>
      <c r="C1196" s="231" t="s">
        <v>97</v>
      </c>
      <c r="D1196" s="357">
        <v>6.3664476190464286E-3</v>
      </c>
      <c r="E1196" s="957">
        <f>Insumos!C207</f>
        <v>347.21960000000001</v>
      </c>
      <c r="F1196" s="957"/>
      <c r="G1196" s="958">
        <f t="shared" si="66"/>
        <v>2.21</v>
      </c>
      <c r="H1196" s="958"/>
    </row>
    <row r="1197" spans="1:10">
      <c r="A1197" s="398"/>
      <c r="B1197" s="230" t="s">
        <v>576</v>
      </c>
      <c r="C1197" s="231" t="s">
        <v>112</v>
      </c>
      <c r="D1197" s="357">
        <v>0.5</v>
      </c>
      <c r="E1197" s="957">
        <f>Insumos!C208</f>
        <v>8.6722999999999999</v>
      </c>
      <c r="F1197" s="957"/>
      <c r="G1197" s="958">
        <f t="shared" si="66"/>
        <v>4.34</v>
      </c>
      <c r="H1197" s="958"/>
    </row>
    <row r="1198" spans="1:10">
      <c r="A1198" s="398"/>
      <c r="B1198" s="230" t="s">
        <v>631</v>
      </c>
      <c r="C1198" s="231" t="s">
        <v>112</v>
      </c>
      <c r="D1198" s="357">
        <v>1.2855555555555576</v>
      </c>
      <c r="E1198" s="957">
        <f>Insumos!C209</f>
        <v>8.19</v>
      </c>
      <c r="F1198" s="957"/>
      <c r="G1198" s="958">
        <f t="shared" si="66"/>
        <v>10.53</v>
      </c>
      <c r="H1198" s="958"/>
    </row>
    <row r="1199" spans="1:10">
      <c r="A1199" s="398"/>
      <c r="B1199" s="230" t="s">
        <v>535</v>
      </c>
      <c r="C1199" s="231" t="s">
        <v>112</v>
      </c>
      <c r="D1199" s="357">
        <v>0.69669722583441906</v>
      </c>
      <c r="E1199" s="957">
        <f>Insumos!C210</f>
        <v>6.4064000000000005</v>
      </c>
      <c r="F1199" s="957"/>
      <c r="G1199" s="958">
        <f t="shared" si="66"/>
        <v>4.46</v>
      </c>
      <c r="H1199" s="958"/>
    </row>
    <row r="1200" spans="1:10">
      <c r="A1200" s="398"/>
      <c r="B1200" s="955" t="s">
        <v>536</v>
      </c>
      <c r="C1200" s="955"/>
      <c r="D1200" s="955"/>
      <c r="E1200" s="389"/>
      <c r="F1200" s="409"/>
      <c r="G1200" s="410"/>
      <c r="H1200" s="249">
        <f>SUM(G1195:H1196)</f>
        <v>516.36</v>
      </c>
    </row>
    <row r="1201" spans="1:10">
      <c r="A1201" s="398"/>
      <c r="B1201" s="955" t="s">
        <v>537</v>
      </c>
      <c r="C1201" s="955"/>
      <c r="D1201" s="955"/>
      <c r="E1201" s="389"/>
      <c r="F1201" s="409"/>
      <c r="G1201" s="410"/>
      <c r="H1201" s="249">
        <f>SUM(G1197:H1199)</f>
        <v>19.329999999999998</v>
      </c>
    </row>
    <row r="1202" spans="1:10">
      <c r="A1202" s="398"/>
      <c r="B1202" s="955" t="s">
        <v>1937</v>
      </c>
      <c r="C1202" s="955"/>
      <c r="D1202" s="955"/>
      <c r="E1202" s="389"/>
      <c r="F1202" s="409"/>
      <c r="G1202" s="410"/>
      <c r="H1202" s="249">
        <f>SUM(H1200:H1201)</f>
        <v>535.69000000000005</v>
      </c>
    </row>
    <row r="1203" spans="1:10">
      <c r="A1203" s="398"/>
      <c r="B1203" s="955" t="s">
        <v>538</v>
      </c>
      <c r="C1203" s="955"/>
      <c r="D1203" s="955"/>
      <c r="E1203" s="389"/>
      <c r="F1203" s="411" t="s">
        <v>539</v>
      </c>
      <c r="G1203" s="410"/>
      <c r="H1203" s="249">
        <f>ROUND(H1202*F1203,2)</f>
        <v>133.71</v>
      </c>
    </row>
    <row r="1204" spans="1:10">
      <c r="A1204" s="398"/>
      <c r="B1204" s="956" t="s">
        <v>540</v>
      </c>
      <c r="C1204" s="956"/>
      <c r="D1204" s="956"/>
      <c r="E1204" s="740"/>
      <c r="F1204" s="768"/>
      <c r="G1204" s="769"/>
      <c r="H1204" s="770">
        <f>SUM(H1202:H1203)</f>
        <v>669.40000000000009</v>
      </c>
    </row>
    <row r="1205" spans="1:10" s="579" customFormat="1">
      <c r="A1205" s="601"/>
      <c r="B1205" s="780"/>
      <c r="C1205" s="780"/>
      <c r="D1205" s="780"/>
      <c r="E1205" s="740"/>
      <c r="F1205" s="768"/>
      <c r="G1205" s="769"/>
      <c r="H1205" s="770"/>
      <c r="I1205" s="400"/>
      <c r="J1205" s="404"/>
    </row>
    <row r="1206" spans="1:10" s="406" customFormat="1" ht="15">
      <c r="A1206" s="403" t="s">
        <v>2379</v>
      </c>
      <c r="B1206" s="961" t="s">
        <v>1421</v>
      </c>
      <c r="C1206" s="961"/>
      <c r="D1206" s="961"/>
      <c r="E1206" s="961"/>
      <c r="F1206" s="961"/>
      <c r="H1206" s="403" t="s">
        <v>13</v>
      </c>
      <c r="I1206" s="407"/>
      <c r="J1206" s="408"/>
    </row>
    <row r="1207" spans="1:10">
      <c r="A1207" s="398"/>
      <c r="B1207" s="230" t="s">
        <v>1423</v>
      </c>
      <c r="C1207" s="231" t="s">
        <v>13</v>
      </c>
      <c r="D1207" s="401">
        <v>1</v>
      </c>
      <c r="E1207" s="964">
        <f>Insumos!C212</f>
        <v>151.78800000000001</v>
      </c>
      <c r="F1207" s="964"/>
      <c r="G1207" s="958">
        <f>ROUND(D1207*E1207,2)</f>
        <v>151.79</v>
      </c>
      <c r="H1207" s="958"/>
    </row>
    <row r="1208" spans="1:10">
      <c r="A1208" s="398"/>
      <c r="B1208" s="230" t="s">
        <v>1424</v>
      </c>
      <c r="C1208" s="231" t="s">
        <v>15</v>
      </c>
      <c r="D1208" s="401">
        <v>4</v>
      </c>
      <c r="E1208" s="432"/>
      <c r="F1208" s="464">
        <f>Insumos!C213</f>
        <v>4.7774999999999999</v>
      </c>
      <c r="G1208" s="958">
        <f>ROUND(D1208*F1208,2)</f>
        <v>19.11</v>
      </c>
      <c r="H1208" s="958"/>
    </row>
    <row r="1209" spans="1:10">
      <c r="A1209" s="398"/>
      <c r="B1209" s="230" t="s">
        <v>1425</v>
      </c>
      <c r="C1209" s="231" t="s">
        <v>15</v>
      </c>
      <c r="D1209" s="401">
        <v>4</v>
      </c>
      <c r="E1209" s="964">
        <f>Insumos!C214</f>
        <v>2.1111999999999997</v>
      </c>
      <c r="F1209" s="964"/>
      <c r="G1209" s="958">
        <f>ROUND(D1209*E1209,2)</f>
        <v>8.44</v>
      </c>
      <c r="H1209" s="958"/>
    </row>
    <row r="1210" spans="1:10">
      <c r="A1210" s="398"/>
      <c r="B1210" s="230" t="s">
        <v>509</v>
      </c>
      <c r="C1210" s="231" t="s">
        <v>112</v>
      </c>
      <c r="D1210" s="401">
        <v>3.5</v>
      </c>
      <c r="E1210" s="959">
        <f>Insumos!C215</f>
        <v>6.4064000000000005</v>
      </c>
      <c r="F1210" s="959"/>
      <c r="G1210" s="958">
        <f>ROUND(D1210*E1210,2)</f>
        <v>22.42</v>
      </c>
      <c r="H1210" s="958"/>
    </row>
    <row r="1211" spans="1:10">
      <c r="A1211" s="398"/>
      <c r="B1211" s="230" t="s">
        <v>655</v>
      </c>
      <c r="C1211" s="231" t="s">
        <v>112</v>
      </c>
      <c r="D1211" s="401">
        <v>3.5</v>
      </c>
      <c r="E1211" s="959">
        <f>Insumos!C216</f>
        <v>7.4711000000000007</v>
      </c>
      <c r="F1211" s="959"/>
      <c r="G1211" s="958">
        <f>ROUND(D1211*E1211,2)</f>
        <v>26.15</v>
      </c>
      <c r="H1211" s="958"/>
    </row>
    <row r="1212" spans="1:10">
      <c r="A1212" s="398"/>
      <c r="B1212" s="955" t="s">
        <v>536</v>
      </c>
      <c r="C1212" s="955"/>
      <c r="D1212" s="955"/>
      <c r="E1212" s="389"/>
      <c r="F1212" s="409"/>
      <c r="G1212" s="410"/>
      <c r="H1212" s="249">
        <f>SUM(G1207:H1209)</f>
        <v>179.33999999999997</v>
      </c>
    </row>
    <row r="1213" spans="1:10">
      <c r="A1213" s="398"/>
      <c r="B1213" s="955" t="s">
        <v>537</v>
      </c>
      <c r="C1213" s="955"/>
      <c r="D1213" s="955"/>
      <c r="E1213" s="389"/>
      <c r="F1213" s="409"/>
      <c r="G1213" s="410"/>
      <c r="H1213" s="249">
        <f>SUM(G1210:H1211)</f>
        <v>48.57</v>
      </c>
    </row>
    <row r="1214" spans="1:10">
      <c r="A1214" s="398"/>
      <c r="B1214" s="955" t="s">
        <v>1937</v>
      </c>
      <c r="C1214" s="955"/>
      <c r="D1214" s="955"/>
      <c r="E1214" s="389"/>
      <c r="F1214" s="409"/>
      <c r="G1214" s="410"/>
      <c r="H1214" s="249">
        <f>SUM(H1212:H1213)</f>
        <v>227.90999999999997</v>
      </c>
    </row>
    <row r="1215" spans="1:10">
      <c r="A1215" s="398"/>
      <c r="B1215" s="955" t="s">
        <v>538</v>
      </c>
      <c r="C1215" s="955"/>
      <c r="D1215" s="955"/>
      <c r="E1215" s="389"/>
      <c r="F1215" s="411" t="s">
        <v>539</v>
      </c>
      <c r="G1215" s="410"/>
      <c r="H1215" s="249">
        <f>ROUND(H1214*F1215,2)</f>
        <v>56.89</v>
      </c>
    </row>
    <row r="1216" spans="1:10">
      <c r="A1216" s="398"/>
      <c r="B1216" s="956" t="s">
        <v>540</v>
      </c>
      <c r="C1216" s="956"/>
      <c r="D1216" s="956"/>
      <c r="E1216" s="740"/>
      <c r="F1216" s="768"/>
      <c r="G1216" s="769"/>
      <c r="H1216" s="770">
        <f>SUM(H1214:H1215)</f>
        <v>284.79999999999995</v>
      </c>
    </row>
    <row r="1217" spans="1:10" s="579" customFormat="1">
      <c r="A1217" s="601"/>
      <c r="B1217" s="780"/>
      <c r="C1217" s="780"/>
      <c r="D1217" s="780"/>
      <c r="E1217" s="740"/>
      <c r="F1217" s="768"/>
      <c r="G1217" s="769"/>
      <c r="H1217" s="770"/>
      <c r="I1217" s="400"/>
      <c r="J1217" s="404"/>
    </row>
    <row r="1218" spans="1:10" s="406" customFormat="1" ht="38.450000000000003" customHeight="1">
      <c r="A1218" s="403" t="s">
        <v>2380</v>
      </c>
      <c r="B1218" s="961" t="s">
        <v>636</v>
      </c>
      <c r="C1218" s="961"/>
      <c r="D1218" s="961"/>
      <c r="E1218" s="961"/>
      <c r="F1218" s="961"/>
      <c r="H1218" s="403" t="s">
        <v>13</v>
      </c>
      <c r="I1218" s="407"/>
      <c r="J1218" s="408"/>
    </row>
    <row r="1219" spans="1:10" ht="22.5">
      <c r="A1219" s="398"/>
      <c r="B1219" s="230" t="s">
        <v>2209</v>
      </c>
      <c r="C1219" s="231" t="s">
        <v>13</v>
      </c>
      <c r="D1219" s="401">
        <v>1</v>
      </c>
      <c r="E1219" s="964">
        <v>119.44</v>
      </c>
      <c r="F1219" s="964"/>
      <c r="G1219" s="958">
        <f>ROUND(D1219*E1219,2)</f>
        <v>119.44</v>
      </c>
      <c r="H1219" s="958"/>
      <c r="J1219" s="433"/>
    </row>
    <row r="1220" spans="1:10">
      <c r="A1220" s="398"/>
      <c r="B1220" s="955" t="s">
        <v>536</v>
      </c>
      <c r="C1220" s="955"/>
      <c r="D1220" s="955"/>
      <c r="E1220" s="491"/>
      <c r="F1220" s="409"/>
      <c r="G1220" s="410"/>
      <c r="H1220" s="249">
        <f>SUM(G1219:H1219)</f>
        <v>119.44</v>
      </c>
    </row>
    <row r="1221" spans="1:10">
      <c r="A1221" s="398"/>
      <c r="B1221" s="955" t="s">
        <v>537</v>
      </c>
      <c r="C1221" s="955"/>
      <c r="D1221" s="955"/>
      <c r="E1221" s="491"/>
      <c r="F1221" s="409"/>
      <c r="G1221" s="410"/>
      <c r="H1221" s="249">
        <v>0</v>
      </c>
    </row>
    <row r="1222" spans="1:10">
      <c r="A1222" s="398"/>
      <c r="B1222" s="955" t="s">
        <v>1937</v>
      </c>
      <c r="C1222" s="955"/>
      <c r="D1222" s="955"/>
      <c r="E1222" s="491"/>
      <c r="F1222" s="409"/>
      <c r="G1222" s="410"/>
      <c r="H1222" s="249">
        <f>SUM(H1220:H1221)</f>
        <v>119.44</v>
      </c>
    </row>
    <row r="1223" spans="1:10">
      <c r="A1223" s="398"/>
      <c r="B1223" s="955" t="s">
        <v>538</v>
      </c>
      <c r="C1223" s="955"/>
      <c r="D1223" s="955"/>
      <c r="E1223" s="491"/>
      <c r="F1223" s="411" t="s">
        <v>539</v>
      </c>
      <c r="G1223" s="410"/>
      <c r="H1223" s="249">
        <f>ROUND(H1222*F1223,2)</f>
        <v>29.81</v>
      </c>
    </row>
    <row r="1224" spans="1:10">
      <c r="A1224" s="398"/>
      <c r="B1224" s="956" t="s">
        <v>540</v>
      </c>
      <c r="C1224" s="956"/>
      <c r="D1224" s="956"/>
      <c r="E1224" s="740"/>
      <c r="F1224" s="768"/>
      <c r="G1224" s="769"/>
      <c r="H1224" s="770">
        <f>SUM(H1222:H1223)</f>
        <v>149.25</v>
      </c>
    </row>
    <row r="1225" spans="1:10" s="579" customFormat="1">
      <c r="A1225" s="601"/>
      <c r="B1225" s="780"/>
      <c r="C1225" s="780"/>
      <c r="D1225" s="780"/>
      <c r="E1225" s="740"/>
      <c r="F1225" s="768"/>
      <c r="G1225" s="769"/>
      <c r="H1225" s="770"/>
      <c r="I1225" s="400"/>
      <c r="J1225" s="404"/>
    </row>
    <row r="1226" spans="1:10" s="167" customFormat="1">
      <c r="A1226" s="756">
        <v>17</v>
      </c>
      <c r="B1226" s="975" t="s">
        <v>651</v>
      </c>
      <c r="C1226" s="975"/>
      <c r="D1226" s="975"/>
      <c r="E1226" s="975"/>
      <c r="F1226" s="975"/>
      <c r="G1226" s="766"/>
      <c r="H1226" s="767"/>
      <c r="I1226" s="326"/>
      <c r="J1226" s="344"/>
    </row>
    <row r="1227" spans="1:10" ht="15">
      <c r="A1227" s="403" t="s">
        <v>2381</v>
      </c>
      <c r="B1227" s="961" t="s">
        <v>652</v>
      </c>
      <c r="C1227" s="961"/>
      <c r="D1227" s="961"/>
      <c r="E1227" s="961"/>
      <c r="F1227" s="961"/>
      <c r="G1227" s="406"/>
      <c r="H1227" s="403" t="s">
        <v>13</v>
      </c>
    </row>
    <row r="1228" spans="1:10">
      <c r="A1228" s="398"/>
      <c r="B1228" s="230" t="s">
        <v>653</v>
      </c>
      <c r="C1228" s="231" t="s">
        <v>13</v>
      </c>
      <c r="D1228" s="401">
        <v>1</v>
      </c>
      <c r="E1228" s="964">
        <f>Insumos!C1070</f>
        <v>72.8</v>
      </c>
      <c r="F1228" s="964"/>
      <c r="G1228" s="958">
        <f>ROUND(D1228*E1228,2)</f>
        <v>72.8</v>
      </c>
      <c r="H1228" s="958"/>
    </row>
    <row r="1229" spans="1:10">
      <c r="A1229" s="398"/>
      <c r="B1229" s="230" t="s">
        <v>654</v>
      </c>
      <c r="C1229" s="231" t="s">
        <v>16</v>
      </c>
      <c r="D1229" s="401">
        <v>1.5973333333333359</v>
      </c>
      <c r="E1229" s="964">
        <f>Insumos!C1071</f>
        <v>3.64</v>
      </c>
      <c r="F1229" s="964"/>
      <c r="G1229" s="958">
        <f>ROUND(D1229*E1229,2)</f>
        <v>5.81</v>
      </c>
      <c r="H1229" s="958"/>
    </row>
    <row r="1230" spans="1:10">
      <c r="A1230" s="398"/>
      <c r="B1230" s="230" t="s">
        <v>509</v>
      </c>
      <c r="C1230" s="231" t="s">
        <v>112</v>
      </c>
      <c r="D1230" s="401">
        <v>0.45</v>
      </c>
      <c r="E1230" s="964">
        <f>Insumos!C1072</f>
        <v>6.4064000000000005</v>
      </c>
      <c r="F1230" s="964"/>
      <c r="G1230" s="958">
        <f>ROUND(D1230*E1230,2)</f>
        <v>2.88</v>
      </c>
      <c r="H1230" s="958"/>
    </row>
    <row r="1231" spans="1:10">
      <c r="A1231" s="398"/>
      <c r="B1231" s="230" t="s">
        <v>655</v>
      </c>
      <c r="C1231" s="231" t="s">
        <v>112</v>
      </c>
      <c r="D1231" s="401">
        <v>0.45</v>
      </c>
      <c r="E1231" s="964">
        <f>Insumos!C1073</f>
        <v>7.4711000000000007</v>
      </c>
      <c r="F1231" s="964"/>
      <c r="G1231" s="958">
        <f>ROUND(D1231*E1231,2)</f>
        <v>3.36</v>
      </c>
      <c r="H1231" s="958"/>
    </row>
    <row r="1232" spans="1:10">
      <c r="A1232" s="398"/>
      <c r="B1232" s="955" t="s">
        <v>536</v>
      </c>
      <c r="C1232" s="955"/>
      <c r="D1232" s="955"/>
      <c r="E1232" s="389"/>
      <c r="F1232" s="409"/>
      <c r="G1232" s="410"/>
      <c r="H1232" s="249">
        <f>SUM(G1228:H1229)</f>
        <v>78.61</v>
      </c>
    </row>
    <row r="1233" spans="1:10" s="406" customFormat="1" ht="15">
      <c r="A1233" s="398"/>
      <c r="B1233" s="955" t="s">
        <v>537</v>
      </c>
      <c r="C1233" s="955"/>
      <c r="D1233" s="955"/>
      <c r="E1233" s="389"/>
      <c r="F1233" s="409"/>
      <c r="G1233" s="410"/>
      <c r="H1233" s="249">
        <f>SUM(G1230:H1231)</f>
        <v>6.24</v>
      </c>
      <c r="I1233" s="407"/>
      <c r="J1233" s="408"/>
    </row>
    <row r="1234" spans="1:10">
      <c r="A1234" s="398"/>
      <c r="B1234" s="955" t="s">
        <v>1937</v>
      </c>
      <c r="C1234" s="955"/>
      <c r="D1234" s="955"/>
      <c r="E1234" s="389"/>
      <c r="F1234" s="409"/>
      <c r="G1234" s="410"/>
      <c r="H1234" s="249">
        <f>SUM(H1232:H1233)</f>
        <v>84.85</v>
      </c>
    </row>
    <row r="1235" spans="1:10">
      <c r="A1235" s="398"/>
      <c r="B1235" s="955" t="s">
        <v>538</v>
      </c>
      <c r="C1235" s="955"/>
      <c r="D1235" s="955"/>
      <c r="E1235" s="389"/>
      <c r="F1235" s="411" t="s">
        <v>539</v>
      </c>
      <c r="G1235" s="410"/>
      <c r="H1235" s="249">
        <f t="shared" ref="H1235" si="67">ROUND(H1234*F1235,2)</f>
        <v>21.18</v>
      </c>
    </row>
    <row r="1236" spans="1:10">
      <c r="A1236" s="398"/>
      <c r="B1236" s="956" t="s">
        <v>540</v>
      </c>
      <c r="C1236" s="956"/>
      <c r="D1236" s="956"/>
      <c r="E1236" s="740"/>
      <c r="F1236" s="768"/>
      <c r="G1236" s="769"/>
      <c r="H1236" s="770">
        <f>SUM(H1234:H1235)</f>
        <v>106.03</v>
      </c>
    </row>
    <row r="1237" spans="1:10" s="579" customFormat="1">
      <c r="A1237" s="601"/>
      <c r="B1237" s="780"/>
      <c r="C1237" s="780"/>
      <c r="D1237" s="780"/>
      <c r="E1237" s="740"/>
      <c r="F1237" s="768"/>
      <c r="G1237" s="769"/>
      <c r="H1237" s="770"/>
      <c r="I1237" s="400"/>
      <c r="J1237" s="404"/>
    </row>
    <row r="1238" spans="1:10" ht="25.9" customHeight="1">
      <c r="A1238" s="403" t="s">
        <v>2382</v>
      </c>
      <c r="B1238" s="961" t="s">
        <v>656</v>
      </c>
      <c r="C1238" s="961"/>
      <c r="D1238" s="961"/>
      <c r="E1238" s="961"/>
      <c r="F1238" s="961"/>
      <c r="G1238" s="406"/>
      <c r="H1238" s="403" t="s">
        <v>13</v>
      </c>
    </row>
    <row r="1239" spans="1:10" ht="22.5">
      <c r="A1239" s="398"/>
      <c r="B1239" s="230" t="s">
        <v>657</v>
      </c>
      <c r="C1239" s="231" t="s">
        <v>612</v>
      </c>
      <c r="D1239" s="401">
        <v>0.18</v>
      </c>
      <c r="E1239" s="964">
        <f>Insumos!C1074</f>
        <v>6.8431999999999995</v>
      </c>
      <c r="F1239" s="964"/>
      <c r="G1239" s="958">
        <f t="shared" ref="G1239:G1244" si="68">ROUND(D1239*E1239,2)</f>
        <v>1.23</v>
      </c>
      <c r="H1239" s="958"/>
    </row>
    <row r="1240" spans="1:10">
      <c r="A1240" s="398"/>
      <c r="B1240" s="230" t="s">
        <v>658</v>
      </c>
      <c r="C1240" s="231" t="s">
        <v>16</v>
      </c>
      <c r="D1240" s="401">
        <v>1.54</v>
      </c>
      <c r="E1240" s="964">
        <f>Insumos!C1075</f>
        <v>18.163600000000002</v>
      </c>
      <c r="F1240" s="964"/>
      <c r="G1240" s="958">
        <f t="shared" si="68"/>
        <v>27.97</v>
      </c>
      <c r="H1240" s="958"/>
    </row>
    <row r="1241" spans="1:10">
      <c r="A1241" s="398"/>
      <c r="B1241" s="230" t="s">
        <v>659</v>
      </c>
      <c r="C1241" s="231" t="s">
        <v>14</v>
      </c>
      <c r="D1241" s="401">
        <v>1.05</v>
      </c>
      <c r="E1241" s="964">
        <f>Insumos!C1076</f>
        <v>46.464600000000004</v>
      </c>
      <c r="F1241" s="964"/>
      <c r="G1241" s="958">
        <f t="shared" si="68"/>
        <v>48.79</v>
      </c>
      <c r="H1241" s="958"/>
    </row>
    <row r="1242" spans="1:10">
      <c r="A1242" s="398"/>
      <c r="B1242" s="230" t="s">
        <v>660</v>
      </c>
      <c r="C1242" s="231" t="s">
        <v>13</v>
      </c>
      <c r="D1242" s="401">
        <v>1</v>
      </c>
      <c r="E1242" s="964">
        <f>Insumos!C1077</f>
        <v>189.28</v>
      </c>
      <c r="F1242" s="964"/>
      <c r="G1242" s="958">
        <f>ROUND(D1242*E1242,2)</f>
        <v>189.28</v>
      </c>
      <c r="H1242" s="958"/>
    </row>
    <row r="1243" spans="1:10">
      <c r="A1243" s="398"/>
      <c r="B1243" s="230" t="s">
        <v>655</v>
      </c>
      <c r="C1243" s="231" t="s">
        <v>112</v>
      </c>
      <c r="D1243" s="401">
        <v>1.7974285714285736</v>
      </c>
      <c r="E1243" s="964">
        <f>Insumos!C1078</f>
        <v>7.4711000000000007</v>
      </c>
      <c r="F1243" s="964"/>
      <c r="G1243" s="958">
        <f t="shared" si="68"/>
        <v>13.43</v>
      </c>
      <c r="H1243" s="958"/>
    </row>
    <row r="1244" spans="1:10">
      <c r="A1244" s="398"/>
      <c r="B1244" s="465" t="s">
        <v>510</v>
      </c>
      <c r="C1244" s="231" t="s">
        <v>112</v>
      </c>
      <c r="D1244" s="401">
        <v>1.8</v>
      </c>
      <c r="E1244" s="964">
        <f>Insumos!C1079</f>
        <v>6.5065000000000008</v>
      </c>
      <c r="F1244" s="964"/>
      <c r="G1244" s="958">
        <f t="shared" si="68"/>
        <v>11.71</v>
      </c>
      <c r="H1244" s="958"/>
    </row>
    <row r="1245" spans="1:10">
      <c r="A1245" s="398"/>
      <c r="B1245" s="955" t="s">
        <v>536</v>
      </c>
      <c r="C1245" s="955"/>
      <c r="D1245" s="955"/>
      <c r="E1245" s="389"/>
      <c r="F1245" s="409"/>
      <c r="G1245" s="410"/>
      <c r="H1245" s="249">
        <f>SUM(G1239:H1242)</f>
        <v>267.27</v>
      </c>
    </row>
    <row r="1246" spans="1:10">
      <c r="A1246" s="398"/>
      <c r="B1246" s="955" t="s">
        <v>537</v>
      </c>
      <c r="C1246" s="955"/>
      <c r="D1246" s="955"/>
      <c r="E1246" s="389"/>
      <c r="F1246" s="409"/>
      <c r="G1246" s="410"/>
      <c r="H1246" s="249">
        <f>SUM(G1243:H1244)</f>
        <v>25.14</v>
      </c>
    </row>
    <row r="1247" spans="1:10">
      <c r="A1247" s="398"/>
      <c r="B1247" s="955" t="s">
        <v>1937</v>
      </c>
      <c r="C1247" s="955"/>
      <c r="D1247" s="955"/>
      <c r="E1247" s="389"/>
      <c r="F1247" s="409"/>
      <c r="G1247" s="410"/>
      <c r="H1247" s="249">
        <f>SUM(H1245:H1246)</f>
        <v>292.40999999999997</v>
      </c>
    </row>
    <row r="1248" spans="1:10">
      <c r="A1248" s="398"/>
      <c r="B1248" s="955" t="s">
        <v>538</v>
      </c>
      <c r="C1248" s="955"/>
      <c r="D1248" s="955"/>
      <c r="E1248" s="389"/>
      <c r="F1248" s="411" t="s">
        <v>539</v>
      </c>
      <c r="G1248" s="410"/>
      <c r="H1248" s="249">
        <f t="shared" ref="H1248" si="69">ROUND(H1247*F1248,2)</f>
        <v>72.989999999999995</v>
      </c>
    </row>
    <row r="1249" spans="1:10">
      <c r="A1249" s="398"/>
      <c r="B1249" s="956" t="s">
        <v>540</v>
      </c>
      <c r="C1249" s="956"/>
      <c r="D1249" s="956"/>
      <c r="E1249" s="740"/>
      <c r="F1249" s="768"/>
      <c r="G1249" s="769"/>
      <c r="H1249" s="770">
        <f>SUM(H1247:H1248)</f>
        <v>365.4</v>
      </c>
    </row>
    <row r="1250" spans="1:10" s="579" customFormat="1">
      <c r="A1250" s="601"/>
      <c r="B1250" s="780"/>
      <c r="C1250" s="780"/>
      <c r="D1250" s="780"/>
      <c r="E1250" s="740"/>
      <c r="F1250" s="768"/>
      <c r="G1250" s="769"/>
      <c r="H1250" s="770"/>
      <c r="I1250" s="400"/>
      <c r="J1250" s="404"/>
    </row>
    <row r="1251" spans="1:10" s="167" customFormat="1" ht="32.1" customHeight="1">
      <c r="A1251" s="753">
        <v>18</v>
      </c>
      <c r="B1251" s="971" t="s">
        <v>1702</v>
      </c>
      <c r="C1251" s="971"/>
      <c r="D1251" s="971"/>
      <c r="E1251" s="971"/>
      <c r="F1251" s="971"/>
      <c r="G1251" s="754"/>
      <c r="H1251" s="755"/>
      <c r="I1251" s="326"/>
      <c r="J1251" s="344"/>
    </row>
    <row r="1252" spans="1:10" s="177" customFormat="1" ht="26.25" customHeight="1">
      <c r="A1252" s="785" t="s">
        <v>4</v>
      </c>
      <c r="B1252" s="962" t="s">
        <v>947</v>
      </c>
      <c r="C1252" s="962"/>
      <c r="D1252" s="962"/>
      <c r="E1252" s="962"/>
      <c r="F1252" s="962"/>
      <c r="G1252" s="786"/>
      <c r="H1252" s="787"/>
      <c r="I1252" s="326"/>
      <c r="J1252" s="345"/>
    </row>
    <row r="1253" spans="1:10" s="406" customFormat="1" ht="15">
      <c r="A1253" s="403" t="s">
        <v>2383</v>
      </c>
      <c r="B1253" s="961" t="s">
        <v>948</v>
      </c>
      <c r="C1253" s="961"/>
      <c r="D1253" s="961"/>
      <c r="E1253" s="961"/>
      <c r="F1253" s="961"/>
      <c r="H1253" s="403" t="s">
        <v>16</v>
      </c>
      <c r="I1253" s="407"/>
      <c r="J1253" s="408"/>
    </row>
    <row r="1254" spans="1:10">
      <c r="A1254" s="398"/>
      <c r="B1254" s="230" t="s">
        <v>949</v>
      </c>
      <c r="C1254" s="231" t="s">
        <v>16</v>
      </c>
      <c r="D1254" s="401">
        <v>1</v>
      </c>
      <c r="E1254" s="959">
        <f>Insumos!C240</f>
        <v>10.01</v>
      </c>
      <c r="F1254" s="959"/>
      <c r="G1254" s="958">
        <f>ROUND(D1254*E1254,2)</f>
        <v>10.01</v>
      </c>
      <c r="H1254" s="958"/>
    </row>
    <row r="1255" spans="1:10">
      <c r="A1255" s="398"/>
      <c r="B1255" s="230" t="s">
        <v>513</v>
      </c>
      <c r="C1255" s="231" t="s">
        <v>112</v>
      </c>
      <c r="D1255" s="401">
        <v>0.90669999999999995</v>
      </c>
      <c r="E1255" s="959">
        <f>Insumos!C241</f>
        <v>12.2759</v>
      </c>
      <c r="F1255" s="959"/>
      <c r="G1255" s="958">
        <f>ROUND(D1255*E1255,2)</f>
        <v>11.13</v>
      </c>
      <c r="H1255" s="958"/>
    </row>
    <row r="1256" spans="1:10">
      <c r="A1256" s="398"/>
      <c r="B1256" s="230" t="s">
        <v>514</v>
      </c>
      <c r="C1256" s="231" t="s">
        <v>112</v>
      </c>
      <c r="D1256" s="401">
        <v>0.90669999999999995</v>
      </c>
      <c r="E1256" s="959">
        <f>Insumos!C242</f>
        <v>6.4064000000000005</v>
      </c>
      <c r="F1256" s="959"/>
      <c r="G1256" s="958">
        <f>ROUND(D1256*E1256,2)</f>
        <v>5.81</v>
      </c>
      <c r="H1256" s="958"/>
    </row>
    <row r="1257" spans="1:10">
      <c r="A1257" s="398"/>
      <c r="B1257" s="955" t="s">
        <v>536</v>
      </c>
      <c r="C1257" s="955"/>
      <c r="D1257" s="955"/>
      <c r="E1257" s="389"/>
      <c r="F1257" s="409"/>
      <c r="G1257" s="410"/>
      <c r="H1257" s="249">
        <f>SUM(G1254)</f>
        <v>10.01</v>
      </c>
    </row>
    <row r="1258" spans="1:10">
      <c r="A1258" s="398"/>
      <c r="B1258" s="955" t="s">
        <v>537</v>
      </c>
      <c r="C1258" s="955"/>
      <c r="D1258" s="955"/>
      <c r="E1258" s="389"/>
      <c r="F1258" s="409"/>
      <c r="G1258" s="410"/>
      <c r="H1258" s="249">
        <f>SUM(G1255:H1256)</f>
        <v>16.940000000000001</v>
      </c>
    </row>
    <row r="1259" spans="1:10">
      <c r="A1259" s="398"/>
      <c r="B1259" s="955" t="s">
        <v>1937</v>
      </c>
      <c r="C1259" s="955"/>
      <c r="D1259" s="955"/>
      <c r="E1259" s="389"/>
      <c r="F1259" s="409"/>
      <c r="G1259" s="410"/>
      <c r="H1259" s="249">
        <f>SUM(H1257:H1258)</f>
        <v>26.950000000000003</v>
      </c>
    </row>
    <row r="1260" spans="1:10">
      <c r="A1260" s="398"/>
      <c r="B1260" s="955" t="s">
        <v>538</v>
      </c>
      <c r="C1260" s="955"/>
      <c r="D1260" s="955"/>
      <c r="E1260" s="389"/>
      <c r="F1260" s="411" t="s">
        <v>539</v>
      </c>
      <c r="G1260" s="410"/>
      <c r="H1260" s="249">
        <f>ROUND(H1259*F1260,2)</f>
        <v>6.73</v>
      </c>
    </row>
    <row r="1261" spans="1:10">
      <c r="A1261" s="398"/>
      <c r="B1261" s="956" t="s">
        <v>540</v>
      </c>
      <c r="C1261" s="956"/>
      <c r="D1261" s="956"/>
      <c r="E1261" s="740"/>
      <c r="F1261" s="768"/>
      <c r="G1261" s="769"/>
      <c r="H1261" s="770">
        <f>SUM(H1259:H1260)</f>
        <v>33.680000000000007</v>
      </c>
    </row>
    <row r="1262" spans="1:10" s="579" customFormat="1">
      <c r="A1262" s="601"/>
      <c r="B1262" s="780"/>
      <c r="C1262" s="780"/>
      <c r="D1262" s="780"/>
      <c r="E1262" s="740"/>
      <c r="F1262" s="768"/>
      <c r="G1262" s="769"/>
      <c r="H1262" s="770"/>
      <c r="I1262" s="400"/>
      <c r="J1262" s="404"/>
    </row>
    <row r="1263" spans="1:10" s="406" customFormat="1" ht="15">
      <c r="A1263" s="403" t="s">
        <v>2384</v>
      </c>
      <c r="B1263" s="961" t="s">
        <v>950</v>
      </c>
      <c r="C1263" s="961"/>
      <c r="D1263" s="961"/>
      <c r="E1263" s="961"/>
      <c r="F1263" s="961"/>
      <c r="H1263" s="403" t="s">
        <v>553</v>
      </c>
      <c r="I1263" s="407"/>
      <c r="J1263" s="408"/>
    </row>
    <row r="1264" spans="1:10">
      <c r="A1264" s="398"/>
      <c r="B1264" s="230" t="s">
        <v>951</v>
      </c>
      <c r="C1264" s="231" t="s">
        <v>553</v>
      </c>
      <c r="D1264" s="401">
        <v>1</v>
      </c>
      <c r="E1264" s="959">
        <f>Insumos!C243</f>
        <v>0.62790000000000001</v>
      </c>
      <c r="F1264" s="959"/>
      <c r="G1264" s="958">
        <f>ROUND(D1264*E1264,2)</f>
        <v>0.63</v>
      </c>
      <c r="H1264" s="958"/>
    </row>
    <row r="1265" spans="1:10">
      <c r="A1265" s="398"/>
      <c r="B1265" s="230" t="s">
        <v>513</v>
      </c>
      <c r="C1265" s="231" t="s">
        <v>112</v>
      </c>
      <c r="D1265" s="401">
        <v>0.01</v>
      </c>
      <c r="E1265" s="959">
        <f>Insumos!C244</f>
        <v>12.2759</v>
      </c>
      <c r="F1265" s="959"/>
      <c r="G1265" s="958">
        <f>ROUND(D1265*E1265,2)</f>
        <v>0.12</v>
      </c>
      <c r="H1265" s="958"/>
    </row>
    <row r="1266" spans="1:10">
      <c r="A1266" s="398"/>
      <c r="B1266" s="230" t="s">
        <v>514</v>
      </c>
      <c r="C1266" s="231" t="s">
        <v>112</v>
      </c>
      <c r="D1266" s="401">
        <v>0.01</v>
      </c>
      <c r="E1266" s="959">
        <f>Insumos!C245</f>
        <v>6.4064000000000005</v>
      </c>
      <c r="F1266" s="959"/>
      <c r="G1266" s="958">
        <f>ROUND(D1266*E1266,2)</f>
        <v>0.06</v>
      </c>
      <c r="H1266" s="958"/>
    </row>
    <row r="1267" spans="1:10">
      <c r="A1267" s="398"/>
      <c r="B1267" s="955" t="s">
        <v>536</v>
      </c>
      <c r="C1267" s="955"/>
      <c r="D1267" s="955"/>
      <c r="E1267" s="389"/>
      <c r="F1267" s="409"/>
      <c r="G1267" s="410"/>
      <c r="H1267" s="249">
        <f>SUM(G1264)</f>
        <v>0.63</v>
      </c>
    </row>
    <row r="1268" spans="1:10">
      <c r="A1268" s="398"/>
      <c r="B1268" s="955" t="s">
        <v>537</v>
      </c>
      <c r="C1268" s="955"/>
      <c r="D1268" s="955"/>
      <c r="E1268" s="389"/>
      <c r="F1268" s="409"/>
      <c r="G1268" s="410"/>
      <c r="H1268" s="249">
        <f>SUM(G1265:H1266)</f>
        <v>0.18</v>
      </c>
    </row>
    <row r="1269" spans="1:10">
      <c r="A1269" s="398"/>
      <c r="B1269" s="955" t="s">
        <v>1937</v>
      </c>
      <c r="C1269" s="955"/>
      <c r="D1269" s="955"/>
      <c r="E1269" s="389"/>
      <c r="F1269" s="409"/>
      <c r="G1269" s="410"/>
      <c r="H1269" s="249">
        <f>SUM(H1267:H1268)</f>
        <v>0.81</v>
      </c>
    </row>
    <row r="1270" spans="1:10">
      <c r="A1270" s="398"/>
      <c r="B1270" s="955" t="s">
        <v>538</v>
      </c>
      <c r="C1270" s="955"/>
      <c r="D1270" s="955"/>
      <c r="E1270" s="389"/>
      <c r="F1270" s="411" t="s">
        <v>539</v>
      </c>
      <c r="G1270" s="410"/>
      <c r="H1270" s="249">
        <f>ROUND(H1269*F1270,2)</f>
        <v>0.2</v>
      </c>
    </row>
    <row r="1271" spans="1:10">
      <c r="A1271" s="398"/>
      <c r="B1271" s="956" t="s">
        <v>540</v>
      </c>
      <c r="C1271" s="956"/>
      <c r="D1271" s="956"/>
      <c r="E1271" s="740"/>
      <c r="F1271" s="768"/>
      <c r="G1271" s="769"/>
      <c r="H1271" s="770">
        <f>SUM(H1269:H1270)</f>
        <v>1.01</v>
      </c>
    </row>
    <row r="1272" spans="1:10" s="579" customFormat="1">
      <c r="A1272" s="601"/>
      <c r="B1272" s="780"/>
      <c r="C1272" s="780"/>
      <c r="D1272" s="780"/>
      <c r="E1272" s="740"/>
      <c r="F1272" s="768"/>
      <c r="G1272" s="769"/>
      <c r="H1272" s="770"/>
      <c r="I1272" s="400"/>
      <c r="J1272" s="404"/>
    </row>
    <row r="1273" spans="1:10" s="406" customFormat="1" ht="25.9" customHeight="1">
      <c r="A1273" s="403" t="s">
        <v>2385</v>
      </c>
      <c r="B1273" s="961" t="s">
        <v>952</v>
      </c>
      <c r="C1273" s="961"/>
      <c r="D1273" s="961"/>
      <c r="E1273" s="961"/>
      <c r="F1273" s="961"/>
      <c r="H1273" s="403" t="s">
        <v>15</v>
      </c>
      <c r="I1273" s="407"/>
      <c r="J1273" s="408"/>
    </row>
    <row r="1274" spans="1:10">
      <c r="A1274" s="398"/>
      <c r="B1274" s="230" t="s">
        <v>953</v>
      </c>
      <c r="C1274" s="231" t="s">
        <v>15</v>
      </c>
      <c r="D1274" s="401">
        <v>1</v>
      </c>
      <c r="E1274" s="959">
        <f>Insumos!C246</f>
        <v>1.0555999999999999</v>
      </c>
      <c r="F1274" s="959"/>
      <c r="G1274" s="958">
        <f>ROUND(D1274*E1274,2)</f>
        <v>1.06</v>
      </c>
      <c r="H1274" s="958"/>
    </row>
    <row r="1275" spans="1:10">
      <c r="A1275" s="398"/>
      <c r="B1275" s="230" t="s">
        <v>954</v>
      </c>
      <c r="C1275" s="231" t="s">
        <v>14</v>
      </c>
      <c r="D1275" s="401">
        <v>1.0214399999985517E-3</v>
      </c>
      <c r="E1275" s="959">
        <f>Insumos!C247</f>
        <v>0.80080000000000007</v>
      </c>
      <c r="F1275" s="959"/>
      <c r="G1275" s="958">
        <f>ROUND(D1275*E1275,2)</f>
        <v>0</v>
      </c>
      <c r="H1275" s="958"/>
    </row>
    <row r="1276" spans="1:10">
      <c r="A1276" s="398"/>
      <c r="B1276" s="230" t="s">
        <v>513</v>
      </c>
      <c r="C1276" s="231" t="s">
        <v>112</v>
      </c>
      <c r="D1276" s="401">
        <v>0.05</v>
      </c>
      <c r="E1276" s="959">
        <f>Insumos!C248</f>
        <v>12.2759</v>
      </c>
      <c r="F1276" s="959"/>
      <c r="G1276" s="958">
        <f>ROUND(D1276*E1276,2)</f>
        <v>0.61</v>
      </c>
      <c r="H1276" s="958"/>
    </row>
    <row r="1277" spans="1:10">
      <c r="A1277" s="398"/>
      <c r="B1277" s="230" t="s">
        <v>535</v>
      </c>
      <c r="C1277" s="231" t="s">
        <v>112</v>
      </c>
      <c r="D1277" s="401">
        <v>0.05</v>
      </c>
      <c r="E1277" s="959">
        <f>Insumos!C249</f>
        <v>6.4064000000000005</v>
      </c>
      <c r="F1277" s="959"/>
      <c r="G1277" s="958">
        <f>ROUND(D1277*E1277,2)</f>
        <v>0.32</v>
      </c>
      <c r="H1277" s="958"/>
    </row>
    <row r="1278" spans="1:10">
      <c r="A1278" s="398"/>
      <c r="B1278" s="955" t="s">
        <v>536</v>
      </c>
      <c r="C1278" s="955"/>
      <c r="D1278" s="955"/>
      <c r="E1278" s="389"/>
      <c r="F1278" s="409"/>
      <c r="G1278" s="410"/>
      <c r="H1278" s="249">
        <f>SUM(G1274:H1275)</f>
        <v>1.06</v>
      </c>
    </row>
    <row r="1279" spans="1:10">
      <c r="A1279" s="398"/>
      <c r="B1279" s="955" t="s">
        <v>537</v>
      </c>
      <c r="C1279" s="955"/>
      <c r="D1279" s="955"/>
      <c r="E1279" s="389"/>
      <c r="F1279" s="409"/>
      <c r="G1279" s="410"/>
      <c r="H1279" s="249">
        <f>SUM(G1276:H1277)</f>
        <v>0.92999999999999994</v>
      </c>
    </row>
    <row r="1280" spans="1:10">
      <c r="A1280" s="398"/>
      <c r="B1280" s="955" t="s">
        <v>1937</v>
      </c>
      <c r="C1280" s="955"/>
      <c r="D1280" s="955"/>
      <c r="E1280" s="389"/>
      <c r="F1280" s="409"/>
      <c r="G1280" s="410"/>
      <c r="H1280" s="249">
        <f>SUM(H1278:H1279)</f>
        <v>1.99</v>
      </c>
    </row>
    <row r="1281" spans="1:10">
      <c r="A1281" s="398"/>
      <c r="B1281" s="955" t="s">
        <v>538</v>
      </c>
      <c r="C1281" s="955"/>
      <c r="D1281" s="955"/>
      <c r="E1281" s="389"/>
      <c r="F1281" s="411" t="s">
        <v>539</v>
      </c>
      <c r="G1281" s="410"/>
      <c r="H1281" s="249">
        <f>ROUND(H1280*F1281,2)</f>
        <v>0.5</v>
      </c>
    </row>
    <row r="1282" spans="1:10">
      <c r="A1282" s="398"/>
      <c r="B1282" s="956" t="s">
        <v>540</v>
      </c>
      <c r="C1282" s="956"/>
      <c r="D1282" s="956"/>
      <c r="E1282" s="740"/>
      <c r="F1282" s="768"/>
      <c r="G1282" s="769"/>
      <c r="H1282" s="770">
        <f>SUM(H1280:H1281)</f>
        <v>2.4900000000000002</v>
      </c>
    </row>
    <row r="1283" spans="1:10" s="579" customFormat="1">
      <c r="A1283" s="601"/>
      <c r="B1283" s="780"/>
      <c r="C1283" s="780"/>
      <c r="D1283" s="780"/>
      <c r="E1283" s="740"/>
      <c r="F1283" s="768"/>
      <c r="G1283" s="769"/>
      <c r="H1283" s="770"/>
      <c r="I1283" s="400"/>
      <c r="J1283" s="404"/>
    </row>
    <row r="1284" spans="1:10" s="581" customFormat="1" ht="25.9" customHeight="1">
      <c r="A1284" s="602" t="s">
        <v>2386</v>
      </c>
      <c r="B1284" s="961" t="s">
        <v>952</v>
      </c>
      <c r="C1284" s="961"/>
      <c r="D1284" s="961"/>
      <c r="E1284" s="961"/>
      <c r="F1284" s="961"/>
      <c r="H1284" s="602" t="s">
        <v>15</v>
      </c>
      <c r="I1284" s="603"/>
      <c r="J1284" s="604"/>
    </row>
    <row r="1285" spans="1:10" s="579" customFormat="1">
      <c r="A1285" s="601"/>
      <c r="B1285" s="595" t="s">
        <v>953</v>
      </c>
      <c r="C1285" s="596" t="s">
        <v>15</v>
      </c>
      <c r="D1285" s="401">
        <v>1</v>
      </c>
      <c r="E1285" s="959">
        <f>Insumos!C250</f>
        <v>1.8018000000000001</v>
      </c>
      <c r="F1285" s="959"/>
      <c r="G1285" s="958">
        <f>ROUND(D1285*E1285,2)</f>
        <v>1.8</v>
      </c>
      <c r="H1285" s="958"/>
      <c r="I1285" s="400"/>
      <c r="J1285" s="404"/>
    </row>
    <row r="1286" spans="1:10" s="579" customFormat="1">
      <c r="A1286" s="601"/>
      <c r="B1286" s="595" t="s">
        <v>954</v>
      </c>
      <c r="C1286" s="596" t="s">
        <v>14</v>
      </c>
      <c r="D1286" s="401">
        <v>3.7999999999999999E-2</v>
      </c>
      <c r="E1286" s="959">
        <f>Insumos!C251</f>
        <v>0.80080000000000007</v>
      </c>
      <c r="F1286" s="959"/>
      <c r="G1286" s="958">
        <f>ROUND(D1286*E1286,2)</f>
        <v>0.03</v>
      </c>
      <c r="H1286" s="958"/>
      <c r="I1286" s="400"/>
      <c r="J1286" s="404"/>
    </row>
    <row r="1287" spans="1:10" s="579" customFormat="1">
      <c r="A1287" s="601"/>
      <c r="B1287" s="595" t="s">
        <v>513</v>
      </c>
      <c r="C1287" s="596" t="s">
        <v>112</v>
      </c>
      <c r="D1287" s="401">
        <v>6.0999999999999999E-2</v>
      </c>
      <c r="E1287" s="959">
        <f>Insumos!C268</f>
        <v>12.2759</v>
      </c>
      <c r="F1287" s="959"/>
      <c r="G1287" s="958">
        <f>ROUND(D1287*E1287,2)</f>
        <v>0.75</v>
      </c>
      <c r="H1287" s="958"/>
      <c r="I1287" s="400"/>
      <c r="J1287" s="404"/>
    </row>
    <row r="1288" spans="1:10" s="579" customFormat="1">
      <c r="A1288" s="601"/>
      <c r="B1288" s="595" t="s">
        <v>535</v>
      </c>
      <c r="C1288" s="596" t="s">
        <v>112</v>
      </c>
      <c r="D1288" s="401">
        <v>5.5E-2</v>
      </c>
      <c r="E1288" s="959">
        <f>Insumos!C269</f>
        <v>6.4064000000000005</v>
      </c>
      <c r="F1288" s="959"/>
      <c r="G1288" s="958">
        <f>ROUND(D1288*E1288,2)</f>
        <v>0.35</v>
      </c>
      <c r="H1288" s="958"/>
      <c r="I1288" s="400"/>
      <c r="J1288" s="404"/>
    </row>
    <row r="1289" spans="1:10" s="579" customFormat="1">
      <c r="A1289" s="601"/>
      <c r="B1289" s="955" t="s">
        <v>536</v>
      </c>
      <c r="C1289" s="955"/>
      <c r="D1289" s="955"/>
      <c r="E1289" s="737"/>
      <c r="F1289" s="605"/>
      <c r="G1289" s="606"/>
      <c r="H1289" s="597">
        <f>SUM(G1285:H1286)</f>
        <v>1.83</v>
      </c>
      <c r="I1289" s="400"/>
      <c r="J1289" s="404"/>
    </row>
    <row r="1290" spans="1:10" s="579" customFormat="1">
      <c r="A1290" s="601"/>
      <c r="B1290" s="955" t="s">
        <v>537</v>
      </c>
      <c r="C1290" s="955"/>
      <c r="D1290" s="955"/>
      <c r="E1290" s="737"/>
      <c r="F1290" s="605"/>
      <c r="G1290" s="606"/>
      <c r="H1290" s="597">
        <f>SUM(G1287:H1288)</f>
        <v>1.1000000000000001</v>
      </c>
      <c r="I1290" s="400"/>
      <c r="J1290" s="404"/>
    </row>
    <row r="1291" spans="1:10" s="579" customFormat="1">
      <c r="A1291" s="601"/>
      <c r="B1291" s="955" t="s">
        <v>1937</v>
      </c>
      <c r="C1291" s="955"/>
      <c r="D1291" s="955"/>
      <c r="E1291" s="737"/>
      <c r="F1291" s="605"/>
      <c r="G1291" s="606"/>
      <c r="H1291" s="597">
        <f>SUM(H1289:H1290)</f>
        <v>2.93</v>
      </c>
      <c r="I1291" s="400"/>
      <c r="J1291" s="404"/>
    </row>
    <row r="1292" spans="1:10" s="579" customFormat="1">
      <c r="A1292" s="601"/>
      <c r="B1292" s="955" t="s">
        <v>538</v>
      </c>
      <c r="C1292" s="955"/>
      <c r="D1292" s="955"/>
      <c r="E1292" s="737"/>
      <c r="F1292" s="607" t="s">
        <v>539</v>
      </c>
      <c r="G1292" s="606"/>
      <c r="H1292" s="597">
        <f>ROUND(H1291*F1292,2)</f>
        <v>0.73</v>
      </c>
      <c r="I1292" s="400"/>
      <c r="J1292" s="404"/>
    </row>
    <row r="1293" spans="1:10" s="579" customFormat="1">
      <c r="A1293" s="601"/>
      <c r="B1293" s="956" t="s">
        <v>540</v>
      </c>
      <c r="C1293" s="956"/>
      <c r="D1293" s="956"/>
      <c r="E1293" s="740"/>
      <c r="F1293" s="768"/>
      <c r="G1293" s="769"/>
      <c r="H1293" s="770">
        <f>SUM(H1291:H1292)</f>
        <v>3.66</v>
      </c>
      <c r="I1293" s="400"/>
      <c r="J1293" s="404"/>
    </row>
    <row r="1294" spans="1:10" s="579" customFormat="1">
      <c r="A1294" s="601"/>
      <c r="B1294" s="780"/>
      <c r="C1294" s="780"/>
      <c r="D1294" s="780"/>
      <c r="E1294" s="740"/>
      <c r="F1294" s="768"/>
      <c r="G1294" s="769"/>
      <c r="H1294" s="770"/>
      <c r="I1294" s="400"/>
      <c r="J1294" s="404"/>
    </row>
    <row r="1295" spans="1:10" s="581" customFormat="1" ht="25.9" customHeight="1">
      <c r="A1295" s="602" t="s">
        <v>2387</v>
      </c>
      <c r="B1295" s="961" t="s">
        <v>952</v>
      </c>
      <c r="C1295" s="961"/>
      <c r="D1295" s="961"/>
      <c r="E1295" s="961"/>
      <c r="F1295" s="961"/>
      <c r="H1295" s="602" t="s">
        <v>15</v>
      </c>
      <c r="I1295" s="603"/>
      <c r="J1295" s="604"/>
    </row>
    <row r="1296" spans="1:10" s="579" customFormat="1">
      <c r="A1296" s="601"/>
      <c r="B1296" s="595" t="s">
        <v>953</v>
      </c>
      <c r="C1296" s="596" t="s">
        <v>15</v>
      </c>
      <c r="D1296" s="401">
        <v>1</v>
      </c>
      <c r="E1296" s="959">
        <f>Insumos!C250</f>
        <v>1.8018000000000001</v>
      </c>
      <c r="F1296" s="959"/>
      <c r="G1296" s="958">
        <f>ROUND(D1296*E1296,2)</f>
        <v>1.8</v>
      </c>
      <c r="H1296" s="958"/>
      <c r="I1296" s="400"/>
      <c r="J1296" s="404"/>
    </row>
    <row r="1297" spans="1:10" s="579" customFormat="1">
      <c r="A1297" s="601"/>
      <c r="B1297" s="595" t="s">
        <v>954</v>
      </c>
      <c r="C1297" s="596" t="s">
        <v>14</v>
      </c>
      <c r="D1297" s="401">
        <v>3.7999999999999999E-2</v>
      </c>
      <c r="E1297" s="959">
        <f>Insumos!C251</f>
        <v>0.80080000000000007</v>
      </c>
      <c r="F1297" s="959"/>
      <c r="G1297" s="958">
        <f>ROUND(D1297*E1297,2)</f>
        <v>0.03</v>
      </c>
      <c r="H1297" s="958"/>
      <c r="I1297" s="400"/>
      <c r="J1297" s="404"/>
    </row>
    <row r="1298" spans="1:10" s="579" customFormat="1">
      <c r="A1298" s="601"/>
      <c r="B1298" s="595" t="s">
        <v>513</v>
      </c>
      <c r="C1298" s="596" t="s">
        <v>112</v>
      </c>
      <c r="D1298" s="401">
        <v>6.0999999999999999E-2</v>
      </c>
      <c r="E1298" s="959">
        <f>Insumos!C268</f>
        <v>12.2759</v>
      </c>
      <c r="F1298" s="959"/>
      <c r="G1298" s="958">
        <f>ROUND(D1298*E1298,2)</f>
        <v>0.75</v>
      </c>
      <c r="H1298" s="958"/>
      <c r="I1298" s="400"/>
      <c r="J1298" s="404"/>
    </row>
    <row r="1299" spans="1:10" s="579" customFormat="1">
      <c r="A1299" s="601"/>
      <c r="B1299" s="595" t="s">
        <v>535</v>
      </c>
      <c r="C1299" s="596" t="s">
        <v>112</v>
      </c>
      <c r="D1299" s="401">
        <v>5.5E-2</v>
      </c>
      <c r="E1299" s="959">
        <f>Insumos!C269</f>
        <v>6.4064000000000005</v>
      </c>
      <c r="F1299" s="959"/>
      <c r="G1299" s="958">
        <f>ROUND(D1299*E1299,2)</f>
        <v>0.35</v>
      </c>
      <c r="H1299" s="958"/>
      <c r="I1299" s="400"/>
      <c r="J1299" s="404"/>
    </row>
    <row r="1300" spans="1:10" s="579" customFormat="1">
      <c r="A1300" s="601"/>
      <c r="B1300" s="955" t="s">
        <v>536</v>
      </c>
      <c r="C1300" s="955"/>
      <c r="D1300" s="955"/>
      <c r="E1300" s="737"/>
      <c r="F1300" s="605"/>
      <c r="G1300" s="606"/>
      <c r="H1300" s="597">
        <f>SUM(G1296:H1297)</f>
        <v>1.83</v>
      </c>
      <c r="I1300" s="400"/>
      <c r="J1300" s="404"/>
    </row>
    <row r="1301" spans="1:10" s="579" customFormat="1">
      <c r="A1301" s="601"/>
      <c r="B1301" s="955" t="s">
        <v>537</v>
      </c>
      <c r="C1301" s="955"/>
      <c r="D1301" s="955"/>
      <c r="E1301" s="737"/>
      <c r="F1301" s="605"/>
      <c r="G1301" s="606"/>
      <c r="H1301" s="597">
        <f>SUM(G1298:H1299)</f>
        <v>1.1000000000000001</v>
      </c>
      <c r="I1301" s="400"/>
      <c r="J1301" s="404"/>
    </row>
    <row r="1302" spans="1:10" s="579" customFormat="1">
      <c r="A1302" s="601"/>
      <c r="B1302" s="955" t="s">
        <v>1937</v>
      </c>
      <c r="C1302" s="955"/>
      <c r="D1302" s="955"/>
      <c r="E1302" s="737"/>
      <c r="F1302" s="605"/>
      <c r="G1302" s="606"/>
      <c r="H1302" s="597">
        <f>SUM(H1300:H1301)</f>
        <v>2.93</v>
      </c>
      <c r="I1302" s="400"/>
      <c r="J1302" s="404"/>
    </row>
    <row r="1303" spans="1:10" s="579" customFormat="1">
      <c r="A1303" s="601"/>
      <c r="B1303" s="955" t="s">
        <v>538</v>
      </c>
      <c r="C1303" s="955"/>
      <c r="D1303" s="955"/>
      <c r="E1303" s="737"/>
      <c r="F1303" s="607" t="s">
        <v>539</v>
      </c>
      <c r="G1303" s="606"/>
      <c r="H1303" s="597">
        <f>ROUND(H1302*F1303,2)</f>
        <v>0.73</v>
      </c>
      <c r="I1303" s="400"/>
      <c r="J1303" s="404"/>
    </row>
    <row r="1304" spans="1:10" s="579" customFormat="1">
      <c r="A1304" s="601"/>
      <c r="B1304" s="956" t="s">
        <v>540</v>
      </c>
      <c r="C1304" s="956"/>
      <c r="D1304" s="956"/>
      <c r="E1304" s="740"/>
      <c r="F1304" s="768"/>
      <c r="G1304" s="769"/>
      <c r="H1304" s="770">
        <f>SUM(H1302:H1303)</f>
        <v>3.66</v>
      </c>
      <c r="I1304" s="400"/>
      <c r="J1304" s="404"/>
    </row>
    <row r="1305" spans="1:10" s="579" customFormat="1">
      <c r="A1305" s="601"/>
      <c r="B1305" s="780"/>
      <c r="C1305" s="780"/>
      <c r="D1305" s="780"/>
      <c r="E1305" s="740"/>
      <c r="F1305" s="768"/>
      <c r="G1305" s="769"/>
      <c r="H1305" s="770"/>
      <c r="I1305" s="400"/>
      <c r="J1305" s="404"/>
    </row>
    <row r="1306" spans="1:10" s="581" customFormat="1" ht="25.9" customHeight="1">
      <c r="A1306" s="602" t="s">
        <v>2388</v>
      </c>
      <c r="B1306" s="961" t="s">
        <v>952</v>
      </c>
      <c r="C1306" s="961"/>
      <c r="D1306" s="961"/>
      <c r="E1306" s="961"/>
      <c r="F1306" s="961"/>
      <c r="H1306" s="602" t="s">
        <v>15</v>
      </c>
      <c r="I1306" s="603"/>
      <c r="J1306" s="604"/>
    </row>
    <row r="1307" spans="1:10" s="579" customFormat="1">
      <c r="A1307" s="601"/>
      <c r="B1307" s="595" t="s">
        <v>953</v>
      </c>
      <c r="C1307" s="596" t="s">
        <v>15</v>
      </c>
      <c r="D1307" s="401">
        <v>1</v>
      </c>
      <c r="E1307" s="959">
        <f>Insumos!C250</f>
        <v>1.8018000000000001</v>
      </c>
      <c r="F1307" s="959"/>
      <c r="G1307" s="958">
        <f>ROUND(D1307*E1307,2)</f>
        <v>1.8</v>
      </c>
      <c r="H1307" s="958"/>
      <c r="I1307" s="400"/>
      <c r="J1307" s="404"/>
    </row>
    <row r="1308" spans="1:10" s="579" customFormat="1">
      <c r="A1308" s="601"/>
      <c r="B1308" s="595" t="s">
        <v>954</v>
      </c>
      <c r="C1308" s="596" t="s">
        <v>14</v>
      </c>
      <c r="D1308" s="401">
        <v>3.7999999999999999E-2</v>
      </c>
      <c r="E1308" s="959">
        <f>Insumos!C251</f>
        <v>0.80080000000000007</v>
      </c>
      <c r="F1308" s="959"/>
      <c r="G1308" s="958">
        <f>ROUND(D1308*E1308,2)</f>
        <v>0.03</v>
      </c>
      <c r="H1308" s="958"/>
      <c r="I1308" s="400"/>
      <c r="J1308" s="404"/>
    </row>
    <row r="1309" spans="1:10" s="579" customFormat="1">
      <c r="A1309" s="601"/>
      <c r="B1309" s="595" t="s">
        <v>513</v>
      </c>
      <c r="C1309" s="596" t="s">
        <v>112</v>
      </c>
      <c r="D1309" s="401">
        <v>6.0999999999999999E-2</v>
      </c>
      <c r="E1309" s="959">
        <f>Insumos!C252</f>
        <v>12.2759</v>
      </c>
      <c r="F1309" s="959"/>
      <c r="G1309" s="958">
        <f>ROUND(D1309*E1309,2)</f>
        <v>0.75</v>
      </c>
      <c r="H1309" s="958"/>
      <c r="I1309" s="400"/>
      <c r="J1309" s="404"/>
    </row>
    <row r="1310" spans="1:10" s="579" customFormat="1">
      <c r="A1310" s="601"/>
      <c r="B1310" s="595" t="s">
        <v>535</v>
      </c>
      <c r="C1310" s="596" t="s">
        <v>112</v>
      </c>
      <c r="D1310" s="401">
        <v>5.5E-2</v>
      </c>
      <c r="E1310" s="959">
        <f>Insumos!C253</f>
        <v>6.4064000000000005</v>
      </c>
      <c r="F1310" s="959"/>
      <c r="G1310" s="958">
        <f>ROUND(D1310*E1310,2)</f>
        <v>0.35</v>
      </c>
      <c r="H1310" s="958"/>
      <c r="I1310" s="400"/>
      <c r="J1310" s="404"/>
    </row>
    <row r="1311" spans="1:10" s="579" customFormat="1">
      <c r="A1311" s="601"/>
      <c r="B1311" s="955" t="s">
        <v>536</v>
      </c>
      <c r="C1311" s="955"/>
      <c r="D1311" s="955"/>
      <c r="E1311" s="737"/>
      <c r="F1311" s="605"/>
      <c r="G1311" s="606"/>
      <c r="H1311" s="597">
        <f>SUM(G1307:H1308)</f>
        <v>1.83</v>
      </c>
      <c r="I1311" s="400"/>
      <c r="J1311" s="404"/>
    </row>
    <row r="1312" spans="1:10" s="579" customFormat="1">
      <c r="A1312" s="601"/>
      <c r="B1312" s="955" t="s">
        <v>537</v>
      </c>
      <c r="C1312" s="955"/>
      <c r="D1312" s="955"/>
      <c r="E1312" s="737"/>
      <c r="F1312" s="605"/>
      <c r="G1312" s="606"/>
      <c r="H1312" s="597">
        <f>SUM(G1309:H1310)</f>
        <v>1.1000000000000001</v>
      </c>
      <c r="I1312" s="400"/>
      <c r="J1312" s="404"/>
    </row>
    <row r="1313" spans="1:10" s="579" customFormat="1">
      <c r="A1313" s="601"/>
      <c r="B1313" s="955" t="s">
        <v>1937</v>
      </c>
      <c r="C1313" s="955"/>
      <c r="D1313" s="955"/>
      <c r="E1313" s="737"/>
      <c r="F1313" s="605"/>
      <c r="G1313" s="606"/>
      <c r="H1313" s="597">
        <f>SUM(H1311:H1312)</f>
        <v>2.93</v>
      </c>
      <c r="I1313" s="400"/>
      <c r="J1313" s="404"/>
    </row>
    <row r="1314" spans="1:10" s="579" customFormat="1">
      <c r="A1314" s="601"/>
      <c r="B1314" s="955" t="s">
        <v>538</v>
      </c>
      <c r="C1314" s="955"/>
      <c r="D1314" s="955"/>
      <c r="E1314" s="737"/>
      <c r="F1314" s="607" t="s">
        <v>539</v>
      </c>
      <c r="G1314" s="606"/>
      <c r="H1314" s="597">
        <f>ROUND(H1313*F1314,2)</f>
        <v>0.73</v>
      </c>
      <c r="I1314" s="400"/>
      <c r="J1314" s="404"/>
    </row>
    <row r="1315" spans="1:10" s="579" customFormat="1">
      <c r="A1315" s="601"/>
      <c r="B1315" s="956" t="s">
        <v>540</v>
      </c>
      <c r="C1315" s="956"/>
      <c r="D1315" s="956"/>
      <c r="E1315" s="740"/>
      <c r="F1315" s="768"/>
      <c r="G1315" s="769"/>
      <c r="H1315" s="770">
        <f>SUM(H1313:H1314)</f>
        <v>3.66</v>
      </c>
      <c r="I1315" s="400"/>
      <c r="J1315" s="404"/>
    </row>
    <row r="1316" spans="1:10" s="579" customFormat="1">
      <c r="A1316" s="601"/>
      <c r="B1316" s="780"/>
      <c r="C1316" s="780"/>
      <c r="D1316" s="780"/>
      <c r="E1316" s="740"/>
      <c r="F1316" s="768"/>
      <c r="G1316" s="769"/>
      <c r="H1316" s="770"/>
      <c r="I1316" s="400"/>
      <c r="J1316" s="404"/>
    </row>
    <row r="1317" spans="1:10" s="406" customFormat="1" ht="27" customHeight="1">
      <c r="A1317" s="403" t="s">
        <v>2389</v>
      </c>
      <c r="B1317" s="961" t="s">
        <v>955</v>
      </c>
      <c r="C1317" s="961"/>
      <c r="D1317" s="961"/>
      <c r="E1317" s="961"/>
      <c r="F1317" s="961"/>
      <c r="G1317" s="402" t="s">
        <v>15</v>
      </c>
      <c r="H1317" s="403" t="s">
        <v>15</v>
      </c>
      <c r="I1317" s="407"/>
      <c r="J1317" s="408"/>
    </row>
    <row r="1318" spans="1:10">
      <c r="A1318" s="398"/>
      <c r="B1318" s="230" t="s">
        <v>956</v>
      </c>
      <c r="C1318" s="231" t="s">
        <v>15</v>
      </c>
      <c r="D1318" s="401">
        <v>1</v>
      </c>
      <c r="E1318" s="959">
        <f>Insumos!C250</f>
        <v>1.8018000000000001</v>
      </c>
      <c r="F1318" s="959"/>
      <c r="G1318" s="958">
        <f>ROUND(D1318*E1318,2)</f>
        <v>1.8</v>
      </c>
      <c r="H1318" s="958"/>
    </row>
    <row r="1319" spans="1:10">
      <c r="A1319" s="398"/>
      <c r="B1319" s="230" t="s">
        <v>954</v>
      </c>
      <c r="C1319" s="231" t="s">
        <v>14</v>
      </c>
      <c r="D1319" s="401">
        <v>3.7999999999999999E-2</v>
      </c>
      <c r="E1319" s="959">
        <f>Insumos!C251</f>
        <v>0.80080000000000007</v>
      </c>
      <c r="F1319" s="959"/>
      <c r="G1319" s="958">
        <f>ROUND(D1319*E1319,2)</f>
        <v>0.03</v>
      </c>
      <c r="H1319" s="958"/>
    </row>
    <row r="1320" spans="1:10">
      <c r="A1320" s="398"/>
      <c r="B1320" s="230" t="s">
        <v>513</v>
      </c>
      <c r="C1320" s="231" t="s">
        <v>112</v>
      </c>
      <c r="D1320" s="401">
        <v>6.0999999999999999E-2</v>
      </c>
      <c r="E1320" s="959">
        <f>Insumos!C252</f>
        <v>12.2759</v>
      </c>
      <c r="F1320" s="959"/>
      <c r="G1320" s="958">
        <f>ROUND(D1320*E1320,2)</f>
        <v>0.75</v>
      </c>
      <c r="H1320" s="958"/>
    </row>
    <row r="1321" spans="1:10">
      <c r="A1321" s="398"/>
      <c r="B1321" s="230" t="s">
        <v>535</v>
      </c>
      <c r="C1321" s="231" t="s">
        <v>112</v>
      </c>
      <c r="D1321" s="401">
        <v>5.5E-2</v>
      </c>
      <c r="E1321" s="959">
        <f>Insumos!C253</f>
        <v>6.4064000000000005</v>
      </c>
      <c r="F1321" s="959"/>
      <c r="G1321" s="958">
        <f>ROUND(D1321*E1321,2)</f>
        <v>0.35</v>
      </c>
      <c r="H1321" s="958"/>
    </row>
    <row r="1322" spans="1:10">
      <c r="A1322" s="398"/>
      <c r="B1322" s="955" t="s">
        <v>536</v>
      </c>
      <c r="C1322" s="955"/>
      <c r="D1322" s="955"/>
      <c r="E1322" s="389"/>
      <c r="F1322" s="409"/>
      <c r="G1322" s="410"/>
      <c r="H1322" s="249">
        <f>SUM(G1318:H1319)</f>
        <v>1.83</v>
      </c>
    </row>
    <row r="1323" spans="1:10">
      <c r="A1323" s="398"/>
      <c r="B1323" s="955" t="s">
        <v>537</v>
      </c>
      <c r="C1323" s="955"/>
      <c r="D1323" s="955"/>
      <c r="E1323" s="389"/>
      <c r="F1323" s="409"/>
      <c r="G1323" s="410"/>
      <c r="H1323" s="249">
        <f>SUM(G1320:H1321)</f>
        <v>1.1000000000000001</v>
      </c>
    </row>
    <row r="1324" spans="1:10">
      <c r="A1324" s="398"/>
      <c r="B1324" s="955" t="s">
        <v>1937</v>
      </c>
      <c r="C1324" s="955"/>
      <c r="D1324" s="955"/>
      <c r="E1324" s="389"/>
      <c r="F1324" s="409"/>
      <c r="G1324" s="410"/>
      <c r="H1324" s="249">
        <f>SUM(H1322:H1323)</f>
        <v>2.93</v>
      </c>
    </row>
    <row r="1325" spans="1:10">
      <c r="A1325" s="398"/>
      <c r="B1325" s="955" t="s">
        <v>538</v>
      </c>
      <c r="C1325" s="955"/>
      <c r="D1325" s="955"/>
      <c r="E1325" s="389"/>
      <c r="F1325" s="411" t="s">
        <v>539</v>
      </c>
      <c r="G1325" s="410"/>
      <c r="H1325" s="249">
        <f>ROUND(H1324*F1325,2)</f>
        <v>0.73</v>
      </c>
    </row>
    <row r="1326" spans="1:10">
      <c r="A1326" s="398"/>
      <c r="B1326" s="956" t="s">
        <v>540</v>
      </c>
      <c r="C1326" s="956"/>
      <c r="D1326" s="956"/>
      <c r="E1326" s="740"/>
      <c r="F1326" s="768"/>
      <c r="G1326" s="769"/>
      <c r="H1326" s="770">
        <f>SUM(H1324:H1325)</f>
        <v>3.66</v>
      </c>
    </row>
    <row r="1327" spans="1:10" s="579" customFormat="1">
      <c r="A1327" s="601"/>
      <c r="B1327" s="780"/>
      <c r="C1327" s="780"/>
      <c r="D1327" s="780"/>
      <c r="E1327" s="740"/>
      <c r="F1327" s="768"/>
      <c r="G1327" s="769"/>
      <c r="H1327" s="770"/>
      <c r="I1327" s="400"/>
      <c r="J1327" s="404"/>
    </row>
    <row r="1328" spans="1:10" s="581" customFormat="1" ht="27" customHeight="1">
      <c r="A1328" s="602" t="s">
        <v>2390</v>
      </c>
      <c r="B1328" s="961" t="s">
        <v>955</v>
      </c>
      <c r="C1328" s="961"/>
      <c r="D1328" s="961"/>
      <c r="E1328" s="961"/>
      <c r="F1328" s="961"/>
      <c r="G1328" s="739" t="s">
        <v>15</v>
      </c>
      <c r="H1328" s="602" t="s">
        <v>15</v>
      </c>
      <c r="I1328" s="603"/>
      <c r="J1328" s="604"/>
    </row>
    <row r="1329" spans="1:10" s="579" customFormat="1">
      <c r="A1329" s="601"/>
      <c r="B1329" s="595" t="s">
        <v>956</v>
      </c>
      <c r="C1329" s="596" t="s">
        <v>15</v>
      </c>
      <c r="D1329" s="401">
        <v>1</v>
      </c>
      <c r="E1329" s="959">
        <f>Insumos!C250</f>
        <v>1.8018000000000001</v>
      </c>
      <c r="F1329" s="959"/>
      <c r="G1329" s="958">
        <f>ROUND(D1329*E1329,2)</f>
        <v>1.8</v>
      </c>
      <c r="H1329" s="958"/>
      <c r="I1329" s="400"/>
      <c r="J1329" s="404"/>
    </row>
    <row r="1330" spans="1:10" s="579" customFormat="1">
      <c r="A1330" s="601"/>
      <c r="B1330" s="595" t="s">
        <v>954</v>
      </c>
      <c r="C1330" s="596" t="s">
        <v>14</v>
      </c>
      <c r="D1330" s="401">
        <v>3.7999999999999999E-2</v>
      </c>
      <c r="E1330" s="959">
        <f>Insumos!C251</f>
        <v>0.80080000000000007</v>
      </c>
      <c r="F1330" s="959"/>
      <c r="G1330" s="958">
        <f>ROUND(D1330*E1330,2)</f>
        <v>0.03</v>
      </c>
      <c r="H1330" s="958"/>
      <c r="I1330" s="400"/>
      <c r="J1330" s="404"/>
    </row>
    <row r="1331" spans="1:10" s="579" customFormat="1">
      <c r="A1331" s="601"/>
      <c r="B1331" s="595" t="s">
        <v>513</v>
      </c>
      <c r="C1331" s="596" t="s">
        <v>112</v>
      </c>
      <c r="D1331" s="401">
        <v>6.0999999999999999E-2</v>
      </c>
      <c r="E1331" s="959">
        <f>Insumos!C268</f>
        <v>12.2759</v>
      </c>
      <c r="F1331" s="959"/>
      <c r="G1331" s="958">
        <f>ROUND(D1331*E1331,2)</f>
        <v>0.75</v>
      </c>
      <c r="H1331" s="958"/>
      <c r="I1331" s="400"/>
      <c r="J1331" s="404"/>
    </row>
    <row r="1332" spans="1:10" s="579" customFormat="1">
      <c r="A1332" s="601"/>
      <c r="B1332" s="595" t="s">
        <v>535</v>
      </c>
      <c r="C1332" s="596" t="s">
        <v>112</v>
      </c>
      <c r="D1332" s="401">
        <v>5.5E-2</v>
      </c>
      <c r="E1332" s="959">
        <f>Insumos!C269</f>
        <v>6.4064000000000005</v>
      </c>
      <c r="F1332" s="959"/>
      <c r="G1332" s="958">
        <f>ROUND(D1332*E1332,2)</f>
        <v>0.35</v>
      </c>
      <c r="H1332" s="958"/>
      <c r="I1332" s="400"/>
      <c r="J1332" s="404"/>
    </row>
    <row r="1333" spans="1:10" s="579" customFormat="1">
      <c r="A1333" s="601"/>
      <c r="B1333" s="955" t="s">
        <v>536</v>
      </c>
      <c r="C1333" s="955"/>
      <c r="D1333" s="955"/>
      <c r="E1333" s="737"/>
      <c r="F1333" s="605"/>
      <c r="G1333" s="606"/>
      <c r="H1333" s="597">
        <f>SUM(G1329:H1330)</f>
        <v>1.83</v>
      </c>
      <c r="I1333" s="400"/>
      <c r="J1333" s="404"/>
    </row>
    <row r="1334" spans="1:10" s="579" customFormat="1">
      <c r="A1334" s="601"/>
      <c r="B1334" s="955" t="s">
        <v>537</v>
      </c>
      <c r="C1334" s="955"/>
      <c r="D1334" s="955"/>
      <c r="E1334" s="737"/>
      <c r="F1334" s="605"/>
      <c r="G1334" s="606"/>
      <c r="H1334" s="597">
        <f>SUM(G1331:H1332)</f>
        <v>1.1000000000000001</v>
      </c>
      <c r="I1334" s="400"/>
      <c r="J1334" s="404"/>
    </row>
    <row r="1335" spans="1:10" s="579" customFormat="1">
      <c r="A1335" s="601"/>
      <c r="B1335" s="955" t="s">
        <v>1937</v>
      </c>
      <c r="C1335" s="955"/>
      <c r="D1335" s="955"/>
      <c r="E1335" s="737"/>
      <c r="F1335" s="605"/>
      <c r="G1335" s="606"/>
      <c r="H1335" s="597">
        <f>SUM(H1333:H1334)</f>
        <v>2.93</v>
      </c>
      <c r="I1335" s="400"/>
      <c r="J1335" s="404"/>
    </row>
    <row r="1336" spans="1:10" s="579" customFormat="1">
      <c r="A1336" s="601"/>
      <c r="B1336" s="955" t="s">
        <v>538</v>
      </c>
      <c r="C1336" s="955"/>
      <c r="D1336" s="955"/>
      <c r="E1336" s="737"/>
      <c r="F1336" s="607" t="s">
        <v>539</v>
      </c>
      <c r="G1336" s="606"/>
      <c r="H1336" s="597">
        <f>ROUND(H1335*F1336,2)</f>
        <v>0.73</v>
      </c>
      <c r="I1336" s="400"/>
      <c r="J1336" s="404"/>
    </row>
    <row r="1337" spans="1:10" s="579" customFormat="1">
      <c r="A1337" s="601"/>
      <c r="B1337" s="956" t="s">
        <v>540</v>
      </c>
      <c r="C1337" s="956"/>
      <c r="D1337" s="956"/>
      <c r="E1337" s="740"/>
      <c r="F1337" s="768"/>
      <c r="G1337" s="769"/>
      <c r="H1337" s="770">
        <f>SUM(H1335:H1336)</f>
        <v>3.66</v>
      </c>
      <c r="I1337" s="400"/>
      <c r="J1337" s="404"/>
    </row>
    <row r="1338" spans="1:10" s="579" customFormat="1">
      <c r="A1338" s="601"/>
      <c r="B1338" s="780"/>
      <c r="C1338" s="780"/>
      <c r="D1338" s="780"/>
      <c r="E1338" s="740"/>
      <c r="F1338" s="768"/>
      <c r="G1338" s="769"/>
      <c r="H1338" s="770"/>
      <c r="I1338" s="400"/>
      <c r="J1338" s="404"/>
    </row>
    <row r="1339" spans="1:10" s="406" customFormat="1" ht="28.15" customHeight="1">
      <c r="A1339" s="403" t="s">
        <v>2391</v>
      </c>
      <c r="B1339" s="961" t="s">
        <v>957</v>
      </c>
      <c r="C1339" s="961"/>
      <c r="D1339" s="961"/>
      <c r="E1339" s="961"/>
      <c r="F1339" s="961"/>
      <c r="G1339" s="402"/>
      <c r="H1339" s="403" t="s">
        <v>15</v>
      </c>
      <c r="I1339" s="407"/>
      <c r="J1339" s="408"/>
    </row>
    <row r="1340" spans="1:10" ht="22.5">
      <c r="A1340" s="398"/>
      <c r="B1340" s="230" t="s">
        <v>958</v>
      </c>
      <c r="C1340" s="231" t="s">
        <v>492</v>
      </c>
      <c r="D1340" s="401">
        <v>1</v>
      </c>
      <c r="E1340" s="959">
        <f>Insumos!C254</f>
        <v>2.7027000000000001</v>
      </c>
      <c r="F1340" s="959"/>
      <c r="G1340" s="958">
        <f>ROUND(D1340*E1340,2)</f>
        <v>2.7</v>
      </c>
      <c r="H1340" s="958"/>
    </row>
    <row r="1341" spans="1:10">
      <c r="A1341" s="398"/>
      <c r="B1341" s="230" t="s">
        <v>954</v>
      </c>
      <c r="C1341" s="231" t="s">
        <v>14</v>
      </c>
      <c r="D1341" s="401">
        <v>1.12E-2</v>
      </c>
      <c r="E1341" s="959">
        <f>Insumos!C255</f>
        <v>0.80080000000000007</v>
      </c>
      <c r="F1341" s="959"/>
      <c r="G1341" s="958">
        <f>ROUND(D1341*E1341,2)</f>
        <v>0.01</v>
      </c>
      <c r="H1341" s="958"/>
    </row>
    <row r="1342" spans="1:10">
      <c r="A1342" s="398"/>
      <c r="B1342" s="230" t="s">
        <v>513</v>
      </c>
      <c r="C1342" s="231" t="s">
        <v>112</v>
      </c>
      <c r="D1342" s="401">
        <v>6.4000000000000001E-2</v>
      </c>
      <c r="E1342" s="959">
        <f>Insumos!C256</f>
        <v>12.2759</v>
      </c>
      <c r="F1342" s="959"/>
      <c r="G1342" s="958">
        <f>ROUND(D1342*E1342,2)</f>
        <v>0.79</v>
      </c>
      <c r="H1342" s="958"/>
    </row>
    <row r="1343" spans="1:10">
      <c r="A1343" s="398"/>
      <c r="B1343" s="230" t="s">
        <v>535</v>
      </c>
      <c r="C1343" s="231" t="s">
        <v>112</v>
      </c>
      <c r="D1343" s="401">
        <v>6.8000000000000005E-2</v>
      </c>
      <c r="E1343" s="959">
        <f>Insumos!C257</f>
        <v>6.4064000000000005</v>
      </c>
      <c r="F1343" s="959"/>
      <c r="G1343" s="958">
        <f>ROUND(D1343*E1343,2)</f>
        <v>0.44</v>
      </c>
      <c r="H1343" s="958"/>
    </row>
    <row r="1344" spans="1:10">
      <c r="A1344" s="398"/>
      <c r="B1344" s="955" t="s">
        <v>536</v>
      </c>
      <c r="C1344" s="955"/>
      <c r="D1344" s="955"/>
      <c r="E1344" s="389"/>
      <c r="F1344" s="409"/>
      <c r="G1344" s="410"/>
      <c r="H1344" s="249">
        <f>SUM(G1340:H1341)</f>
        <v>2.71</v>
      </c>
    </row>
    <row r="1345" spans="1:10">
      <c r="A1345" s="398"/>
      <c r="B1345" s="955" t="s">
        <v>537</v>
      </c>
      <c r="C1345" s="955"/>
      <c r="D1345" s="955"/>
      <c r="E1345" s="389"/>
      <c r="F1345" s="409"/>
      <c r="G1345" s="410"/>
      <c r="H1345" s="249">
        <f>SUM(G1342:H1343)</f>
        <v>1.23</v>
      </c>
    </row>
    <row r="1346" spans="1:10">
      <c r="A1346" s="398"/>
      <c r="B1346" s="955" t="s">
        <v>1937</v>
      </c>
      <c r="C1346" s="955"/>
      <c r="D1346" s="955"/>
      <c r="E1346" s="389"/>
      <c r="F1346" s="409"/>
      <c r="G1346" s="410"/>
      <c r="H1346" s="249">
        <f>SUM(H1344:H1345)</f>
        <v>3.94</v>
      </c>
    </row>
    <row r="1347" spans="1:10">
      <c r="A1347" s="398"/>
      <c r="B1347" s="955" t="s">
        <v>538</v>
      </c>
      <c r="C1347" s="955"/>
      <c r="D1347" s="955"/>
      <c r="E1347" s="389"/>
      <c r="F1347" s="411" t="s">
        <v>539</v>
      </c>
      <c r="G1347" s="410"/>
      <c r="H1347" s="249">
        <f>ROUND(H1346*F1347,2)</f>
        <v>0.98</v>
      </c>
    </row>
    <row r="1348" spans="1:10">
      <c r="A1348" s="398"/>
      <c r="B1348" s="956" t="s">
        <v>540</v>
      </c>
      <c r="C1348" s="956"/>
      <c r="D1348" s="956"/>
      <c r="E1348" s="740"/>
      <c r="F1348" s="768"/>
      <c r="G1348" s="769"/>
      <c r="H1348" s="770">
        <f>SUM(H1346:H1347)</f>
        <v>4.92</v>
      </c>
    </row>
    <row r="1349" spans="1:10" s="579" customFormat="1">
      <c r="A1349" s="601"/>
      <c r="B1349" s="780"/>
      <c r="C1349" s="780"/>
      <c r="D1349" s="780"/>
      <c r="E1349" s="740"/>
      <c r="F1349" s="768"/>
      <c r="G1349" s="769"/>
      <c r="H1349" s="770"/>
      <c r="I1349" s="400"/>
      <c r="J1349" s="404"/>
    </row>
    <row r="1350" spans="1:10" s="581" customFormat="1" ht="28.15" customHeight="1">
      <c r="A1350" s="602" t="s">
        <v>2392</v>
      </c>
      <c r="B1350" s="961" t="s">
        <v>957</v>
      </c>
      <c r="C1350" s="961"/>
      <c r="D1350" s="961"/>
      <c r="E1350" s="961"/>
      <c r="F1350" s="961"/>
      <c r="G1350" s="739"/>
      <c r="H1350" s="602" t="s">
        <v>15</v>
      </c>
      <c r="I1350" s="603"/>
      <c r="J1350" s="604"/>
    </row>
    <row r="1351" spans="1:10" s="579" customFormat="1" ht="22.5">
      <c r="A1351" s="601"/>
      <c r="B1351" s="595" t="s">
        <v>958</v>
      </c>
      <c r="C1351" s="596" t="s">
        <v>492</v>
      </c>
      <c r="D1351" s="401">
        <v>1</v>
      </c>
      <c r="E1351" s="959">
        <f>Insumos!C254</f>
        <v>2.7027000000000001</v>
      </c>
      <c r="F1351" s="959"/>
      <c r="G1351" s="958">
        <f>ROUND(D1351*E1351,2)</f>
        <v>2.7</v>
      </c>
      <c r="H1351" s="958"/>
      <c r="I1351" s="400"/>
      <c r="J1351" s="404"/>
    </row>
    <row r="1352" spans="1:10" s="579" customFormat="1">
      <c r="A1352" s="601"/>
      <c r="B1352" s="595" t="s">
        <v>954</v>
      </c>
      <c r="C1352" s="596" t="s">
        <v>14</v>
      </c>
      <c r="D1352" s="401">
        <v>1.12E-2</v>
      </c>
      <c r="E1352" s="959">
        <f>Insumos!C255</f>
        <v>0.80080000000000007</v>
      </c>
      <c r="F1352" s="959"/>
      <c r="G1352" s="958">
        <f>ROUND(D1352*E1352,2)</f>
        <v>0.01</v>
      </c>
      <c r="H1352" s="958"/>
      <c r="I1352" s="400"/>
      <c r="J1352" s="404"/>
    </row>
    <row r="1353" spans="1:10" s="579" customFormat="1">
      <c r="A1353" s="601"/>
      <c r="B1353" s="595" t="s">
        <v>513</v>
      </c>
      <c r="C1353" s="596" t="s">
        <v>112</v>
      </c>
      <c r="D1353" s="401">
        <v>6.4000000000000001E-2</v>
      </c>
      <c r="E1353" s="959">
        <f>Insumos!C256</f>
        <v>12.2759</v>
      </c>
      <c r="F1353" s="959"/>
      <c r="G1353" s="958">
        <f>ROUND(D1353*E1353,2)</f>
        <v>0.79</v>
      </c>
      <c r="H1353" s="958"/>
      <c r="I1353" s="400"/>
      <c r="J1353" s="404"/>
    </row>
    <row r="1354" spans="1:10" s="579" customFormat="1">
      <c r="A1354" s="601"/>
      <c r="B1354" s="595" t="s">
        <v>535</v>
      </c>
      <c r="C1354" s="596" t="s">
        <v>112</v>
      </c>
      <c r="D1354" s="401">
        <v>6.8000000000000005E-2</v>
      </c>
      <c r="E1354" s="959">
        <f>Insumos!C257</f>
        <v>6.4064000000000005</v>
      </c>
      <c r="F1354" s="959"/>
      <c r="G1354" s="958">
        <f>ROUND(D1354*E1354,2)</f>
        <v>0.44</v>
      </c>
      <c r="H1354" s="958"/>
      <c r="I1354" s="400"/>
      <c r="J1354" s="404"/>
    </row>
    <row r="1355" spans="1:10" s="579" customFormat="1">
      <c r="A1355" s="601"/>
      <c r="B1355" s="955" t="s">
        <v>536</v>
      </c>
      <c r="C1355" s="955"/>
      <c r="D1355" s="955"/>
      <c r="E1355" s="737"/>
      <c r="F1355" s="605"/>
      <c r="G1355" s="606"/>
      <c r="H1355" s="597">
        <f>SUM(G1351:H1352)</f>
        <v>2.71</v>
      </c>
      <c r="I1355" s="400"/>
      <c r="J1355" s="404"/>
    </row>
    <row r="1356" spans="1:10" s="579" customFormat="1">
      <c r="A1356" s="601"/>
      <c r="B1356" s="955" t="s">
        <v>537</v>
      </c>
      <c r="C1356" s="955"/>
      <c r="D1356" s="955"/>
      <c r="E1356" s="737"/>
      <c r="F1356" s="605"/>
      <c r="G1356" s="606"/>
      <c r="H1356" s="597">
        <f>SUM(G1353:H1354)</f>
        <v>1.23</v>
      </c>
      <c r="I1356" s="400"/>
      <c r="J1356" s="404"/>
    </row>
    <row r="1357" spans="1:10" s="579" customFormat="1">
      <c r="A1357" s="601"/>
      <c r="B1357" s="955" t="s">
        <v>1937</v>
      </c>
      <c r="C1357" s="955"/>
      <c r="D1357" s="955"/>
      <c r="E1357" s="737"/>
      <c r="F1357" s="605"/>
      <c r="G1357" s="606"/>
      <c r="H1357" s="597">
        <f>SUM(H1355:H1356)</f>
        <v>3.94</v>
      </c>
      <c r="I1357" s="400"/>
      <c r="J1357" s="404"/>
    </row>
    <row r="1358" spans="1:10" s="579" customFormat="1">
      <c r="A1358" s="601"/>
      <c r="B1358" s="955" t="s">
        <v>538</v>
      </c>
      <c r="C1358" s="955"/>
      <c r="D1358" s="955"/>
      <c r="E1358" s="737"/>
      <c r="F1358" s="607" t="s">
        <v>539</v>
      </c>
      <c r="G1358" s="606"/>
      <c r="H1358" s="597">
        <f>ROUND(H1357*F1358,2)</f>
        <v>0.98</v>
      </c>
      <c r="I1358" s="400"/>
      <c r="J1358" s="404"/>
    </row>
    <row r="1359" spans="1:10" s="579" customFormat="1">
      <c r="A1359" s="601"/>
      <c r="B1359" s="956" t="s">
        <v>540</v>
      </c>
      <c r="C1359" s="956"/>
      <c r="D1359" s="956"/>
      <c r="E1359" s="740"/>
      <c r="F1359" s="768"/>
      <c r="G1359" s="769"/>
      <c r="H1359" s="770">
        <f>SUM(H1357:H1358)</f>
        <v>4.92</v>
      </c>
      <c r="I1359" s="400"/>
      <c r="J1359" s="404"/>
    </row>
    <row r="1360" spans="1:10" s="579" customFormat="1">
      <c r="A1360" s="601"/>
      <c r="B1360" s="780"/>
      <c r="C1360" s="780"/>
      <c r="D1360" s="780"/>
      <c r="E1360" s="740"/>
      <c r="F1360" s="768"/>
      <c r="G1360" s="769"/>
      <c r="H1360" s="770"/>
      <c r="I1360" s="400"/>
      <c r="J1360" s="404"/>
    </row>
    <row r="1361" spans="1:10" s="406" customFormat="1" ht="15">
      <c r="A1361" s="403" t="s">
        <v>2393</v>
      </c>
      <c r="B1361" s="961" t="s">
        <v>445</v>
      </c>
      <c r="C1361" s="961"/>
      <c r="D1361" s="961"/>
      <c r="E1361" s="961"/>
      <c r="F1361" s="961"/>
      <c r="H1361" s="403" t="s">
        <v>14</v>
      </c>
      <c r="I1361" s="407"/>
      <c r="J1361" s="408"/>
    </row>
    <row r="1362" spans="1:10">
      <c r="A1362" s="398"/>
      <c r="B1362" s="230" t="s">
        <v>960</v>
      </c>
      <c r="C1362" s="231" t="s">
        <v>14</v>
      </c>
      <c r="D1362" s="401">
        <v>1</v>
      </c>
      <c r="E1362" s="959">
        <f>Insumos!C258</f>
        <v>1.4105000000000001</v>
      </c>
      <c r="F1362" s="959"/>
      <c r="G1362" s="958">
        <f>ROUND(D1362*E1362,2)</f>
        <v>1.41</v>
      </c>
      <c r="H1362" s="958"/>
    </row>
    <row r="1363" spans="1:10">
      <c r="A1363" s="398"/>
      <c r="B1363" s="230" t="s">
        <v>513</v>
      </c>
      <c r="C1363" s="231" t="s">
        <v>112</v>
      </c>
      <c r="D1363" s="401">
        <v>0.15</v>
      </c>
      <c r="E1363" s="959">
        <f>Insumos!C259</f>
        <v>12.2759</v>
      </c>
      <c r="F1363" s="959"/>
      <c r="G1363" s="958">
        <f>ROUND(D1363*E1363,2)</f>
        <v>1.84</v>
      </c>
      <c r="H1363" s="958"/>
    </row>
    <row r="1364" spans="1:10">
      <c r="A1364" s="398"/>
      <c r="B1364" s="230" t="s">
        <v>514</v>
      </c>
      <c r="C1364" s="231" t="s">
        <v>112</v>
      </c>
      <c r="D1364" s="401">
        <v>0.15</v>
      </c>
      <c r="E1364" s="959">
        <f>Insumos!C260</f>
        <v>6.4064000000000005</v>
      </c>
      <c r="F1364" s="959"/>
      <c r="G1364" s="958">
        <f>ROUND(D1364*E1364,2)</f>
        <v>0.96</v>
      </c>
      <c r="H1364" s="958"/>
    </row>
    <row r="1365" spans="1:10">
      <c r="A1365" s="398"/>
      <c r="B1365" s="955" t="s">
        <v>536</v>
      </c>
      <c r="C1365" s="955"/>
      <c r="D1365" s="955"/>
      <c r="E1365" s="389"/>
      <c r="F1365" s="409"/>
      <c r="G1365" s="410"/>
      <c r="H1365" s="249">
        <f>SUM(G1362)</f>
        <v>1.41</v>
      </c>
    </row>
    <row r="1366" spans="1:10">
      <c r="A1366" s="398"/>
      <c r="B1366" s="955" t="s">
        <v>537</v>
      </c>
      <c r="C1366" s="955"/>
      <c r="D1366" s="955"/>
      <c r="E1366" s="389"/>
      <c r="F1366" s="409"/>
      <c r="G1366" s="410"/>
      <c r="H1366" s="249">
        <f>SUM(G1363:H1364)</f>
        <v>2.8</v>
      </c>
    </row>
    <row r="1367" spans="1:10">
      <c r="A1367" s="398"/>
      <c r="B1367" s="955" t="s">
        <v>1937</v>
      </c>
      <c r="C1367" s="955"/>
      <c r="D1367" s="955"/>
      <c r="E1367" s="389"/>
      <c r="F1367" s="409"/>
      <c r="G1367" s="410"/>
      <c r="H1367" s="249">
        <f>SUM(H1365:H1366)</f>
        <v>4.21</v>
      </c>
    </row>
    <row r="1368" spans="1:10">
      <c r="A1368" s="398"/>
      <c r="B1368" s="955" t="s">
        <v>538</v>
      </c>
      <c r="C1368" s="955"/>
      <c r="D1368" s="955"/>
      <c r="E1368" s="389"/>
      <c r="F1368" s="411" t="s">
        <v>539</v>
      </c>
      <c r="G1368" s="410"/>
      <c r="H1368" s="249">
        <f>ROUND(H1367*F1368,2)</f>
        <v>1.05</v>
      </c>
    </row>
    <row r="1369" spans="1:10">
      <c r="A1369" s="398"/>
      <c r="B1369" s="956" t="s">
        <v>540</v>
      </c>
      <c r="C1369" s="956"/>
      <c r="D1369" s="956"/>
      <c r="E1369" s="740"/>
      <c r="F1369" s="768"/>
      <c r="G1369" s="769"/>
      <c r="H1369" s="770">
        <f>SUM(H1367:H1368)</f>
        <v>5.26</v>
      </c>
    </row>
    <row r="1370" spans="1:10" s="579" customFormat="1">
      <c r="A1370" s="601"/>
      <c r="B1370" s="780"/>
      <c r="C1370" s="780"/>
      <c r="D1370" s="780"/>
      <c r="E1370" s="740"/>
      <c r="F1370" s="768"/>
      <c r="G1370" s="769"/>
      <c r="H1370" s="770"/>
      <c r="I1370" s="400"/>
      <c r="J1370" s="404"/>
    </row>
    <row r="1371" spans="1:10" s="406" customFormat="1" ht="15">
      <c r="A1371" s="403" t="s">
        <v>2394</v>
      </c>
      <c r="B1371" s="961" t="s">
        <v>446</v>
      </c>
      <c r="C1371" s="961"/>
      <c r="D1371" s="961"/>
      <c r="E1371" s="961"/>
      <c r="F1371" s="961"/>
      <c r="G1371" s="402"/>
      <c r="H1371" s="403" t="s">
        <v>14</v>
      </c>
      <c r="I1371" s="407"/>
      <c r="J1371" s="408"/>
    </row>
    <row r="1372" spans="1:10">
      <c r="A1372" s="398"/>
      <c r="B1372" s="230" t="s">
        <v>962</v>
      </c>
      <c r="C1372" s="231" t="s">
        <v>14</v>
      </c>
      <c r="D1372" s="401">
        <v>1</v>
      </c>
      <c r="E1372" s="959">
        <f>Insumos!C261</f>
        <v>2.3478000000000003</v>
      </c>
      <c r="F1372" s="959"/>
      <c r="G1372" s="958">
        <f>ROUND(D1372*E1372,2)</f>
        <v>2.35</v>
      </c>
      <c r="H1372" s="958"/>
    </row>
    <row r="1373" spans="1:10">
      <c r="A1373" s="398"/>
      <c r="B1373" s="230" t="s">
        <v>513</v>
      </c>
      <c r="C1373" s="231" t="s">
        <v>112</v>
      </c>
      <c r="D1373" s="401">
        <v>0.15</v>
      </c>
      <c r="E1373" s="959">
        <f>Insumos!C262</f>
        <v>12.2759</v>
      </c>
      <c r="F1373" s="959"/>
      <c r="G1373" s="958">
        <f>ROUND(D1373*E1373,2)</f>
        <v>1.84</v>
      </c>
      <c r="H1373" s="958"/>
    </row>
    <row r="1374" spans="1:10">
      <c r="A1374" s="398"/>
      <c r="B1374" s="230" t="s">
        <v>514</v>
      </c>
      <c r="C1374" s="231" t="s">
        <v>112</v>
      </c>
      <c r="D1374" s="401">
        <v>0.15</v>
      </c>
      <c r="E1374" s="959">
        <f>Insumos!C263</f>
        <v>6.4064000000000005</v>
      </c>
      <c r="F1374" s="959"/>
      <c r="G1374" s="958">
        <f>ROUND(D1374*E1374,2)</f>
        <v>0.96</v>
      </c>
      <c r="H1374" s="958"/>
    </row>
    <row r="1375" spans="1:10">
      <c r="A1375" s="398"/>
      <c r="B1375" s="955" t="s">
        <v>536</v>
      </c>
      <c r="C1375" s="955"/>
      <c r="D1375" s="955"/>
      <c r="E1375" s="389"/>
      <c r="F1375" s="409"/>
      <c r="G1375" s="410"/>
      <c r="H1375" s="249">
        <f>SUM(G1372)</f>
        <v>2.35</v>
      </c>
    </row>
    <row r="1376" spans="1:10">
      <c r="A1376" s="398"/>
      <c r="B1376" s="955" t="s">
        <v>537</v>
      </c>
      <c r="C1376" s="955"/>
      <c r="D1376" s="955"/>
      <c r="E1376" s="389"/>
      <c r="F1376" s="409"/>
      <c r="G1376" s="410"/>
      <c r="H1376" s="249">
        <f>SUM(G1373:H1374)</f>
        <v>2.8</v>
      </c>
    </row>
    <row r="1377" spans="1:10">
      <c r="A1377" s="398"/>
      <c r="B1377" s="955" t="s">
        <v>1937</v>
      </c>
      <c r="C1377" s="955"/>
      <c r="D1377" s="955"/>
      <c r="E1377" s="389"/>
      <c r="F1377" s="409"/>
      <c r="G1377" s="410"/>
      <c r="H1377" s="249">
        <f>SUM(H1375:H1376)</f>
        <v>5.15</v>
      </c>
    </row>
    <row r="1378" spans="1:10">
      <c r="A1378" s="398"/>
      <c r="B1378" s="955" t="s">
        <v>538</v>
      </c>
      <c r="C1378" s="955"/>
      <c r="D1378" s="955"/>
      <c r="E1378" s="389"/>
      <c r="F1378" s="411" t="s">
        <v>539</v>
      </c>
      <c r="G1378" s="410"/>
      <c r="H1378" s="249">
        <f>ROUND(H1377*F1378,2)</f>
        <v>1.29</v>
      </c>
    </row>
    <row r="1379" spans="1:10">
      <c r="A1379" s="398"/>
      <c r="B1379" s="956" t="s">
        <v>540</v>
      </c>
      <c r="C1379" s="956"/>
      <c r="D1379" s="956"/>
      <c r="E1379" s="740"/>
      <c r="F1379" s="768"/>
      <c r="G1379" s="769"/>
      <c r="H1379" s="770">
        <f>SUM(H1377:H1378)</f>
        <v>6.44</v>
      </c>
    </row>
    <row r="1380" spans="1:10" s="579" customFormat="1">
      <c r="A1380" s="601"/>
      <c r="B1380" s="780"/>
      <c r="C1380" s="780"/>
      <c r="D1380" s="780"/>
      <c r="E1380" s="740"/>
      <c r="F1380" s="768"/>
      <c r="G1380" s="769"/>
      <c r="H1380" s="770"/>
      <c r="I1380" s="400"/>
      <c r="J1380" s="404"/>
    </row>
    <row r="1381" spans="1:10" s="406" customFormat="1" ht="15">
      <c r="A1381" s="403" t="s">
        <v>2395</v>
      </c>
      <c r="B1381" s="961" t="s">
        <v>963</v>
      </c>
      <c r="C1381" s="961"/>
      <c r="D1381" s="961"/>
      <c r="E1381" s="961"/>
      <c r="F1381" s="961"/>
      <c r="G1381" s="402"/>
      <c r="H1381" s="403" t="s">
        <v>14</v>
      </c>
      <c r="I1381" s="407"/>
      <c r="J1381" s="408"/>
    </row>
    <row r="1382" spans="1:10">
      <c r="A1382" s="398"/>
      <c r="B1382" s="230" t="s">
        <v>964</v>
      </c>
      <c r="C1382" s="231" t="s">
        <v>14</v>
      </c>
      <c r="D1382" s="401">
        <v>1</v>
      </c>
      <c r="E1382" s="959">
        <f>Insumos!C264</f>
        <v>2.3478000000000003</v>
      </c>
      <c r="F1382" s="959"/>
      <c r="G1382" s="958">
        <f>ROUND(D1382*E1382,2)</f>
        <v>2.35</v>
      </c>
      <c r="H1382" s="958"/>
    </row>
    <row r="1383" spans="1:10">
      <c r="A1383" s="398"/>
      <c r="B1383" s="230" t="s">
        <v>513</v>
      </c>
      <c r="C1383" s="231" t="s">
        <v>112</v>
      </c>
      <c r="D1383" s="401">
        <v>0.15</v>
      </c>
      <c r="E1383" s="959">
        <f>Insumos!C265</f>
        <v>12.2759</v>
      </c>
      <c r="F1383" s="959"/>
      <c r="G1383" s="958">
        <f>ROUND(D1383*E1383,2)</f>
        <v>1.84</v>
      </c>
      <c r="H1383" s="958"/>
    </row>
    <row r="1384" spans="1:10">
      <c r="A1384" s="398"/>
      <c r="B1384" s="230" t="s">
        <v>514</v>
      </c>
      <c r="C1384" s="231" t="s">
        <v>112</v>
      </c>
      <c r="D1384" s="401">
        <v>0.15</v>
      </c>
      <c r="E1384" s="959">
        <f>Insumos!C266</f>
        <v>6.4064000000000005</v>
      </c>
      <c r="F1384" s="959"/>
      <c r="G1384" s="958">
        <f>ROUND(D1384*E1384,2)</f>
        <v>0.96</v>
      </c>
      <c r="H1384" s="958"/>
    </row>
    <row r="1385" spans="1:10">
      <c r="A1385" s="398"/>
      <c r="B1385" s="955" t="s">
        <v>536</v>
      </c>
      <c r="C1385" s="955"/>
      <c r="D1385" s="955"/>
      <c r="E1385" s="389"/>
      <c r="F1385" s="409"/>
      <c r="G1385" s="410"/>
      <c r="H1385" s="249">
        <f>SUM(G1382)</f>
        <v>2.35</v>
      </c>
    </row>
    <row r="1386" spans="1:10">
      <c r="A1386" s="398"/>
      <c r="B1386" s="955" t="s">
        <v>537</v>
      </c>
      <c r="C1386" s="955"/>
      <c r="D1386" s="955"/>
      <c r="E1386" s="389"/>
      <c r="F1386" s="409"/>
      <c r="G1386" s="410"/>
      <c r="H1386" s="249">
        <f>SUM(G1383:H1384)</f>
        <v>2.8</v>
      </c>
    </row>
    <row r="1387" spans="1:10">
      <c r="A1387" s="398"/>
      <c r="B1387" s="955" t="s">
        <v>1937</v>
      </c>
      <c r="C1387" s="955"/>
      <c r="D1387" s="955"/>
      <c r="E1387" s="389"/>
      <c r="F1387" s="409"/>
      <c r="G1387" s="410"/>
      <c r="H1387" s="249">
        <f>SUM(H1385:H1386)</f>
        <v>5.15</v>
      </c>
    </row>
    <row r="1388" spans="1:10">
      <c r="A1388" s="398"/>
      <c r="B1388" s="955" t="s">
        <v>538</v>
      </c>
      <c r="C1388" s="955"/>
      <c r="D1388" s="955"/>
      <c r="E1388" s="389"/>
      <c r="F1388" s="411" t="s">
        <v>539</v>
      </c>
      <c r="G1388" s="410"/>
      <c r="H1388" s="249">
        <f>ROUND(H1387*F1388,2)</f>
        <v>1.29</v>
      </c>
    </row>
    <row r="1389" spans="1:10">
      <c r="A1389" s="398"/>
      <c r="B1389" s="956" t="s">
        <v>540</v>
      </c>
      <c r="C1389" s="956"/>
      <c r="D1389" s="956"/>
      <c r="E1389" s="740"/>
      <c r="F1389" s="768"/>
      <c r="G1389" s="769"/>
      <c r="H1389" s="770">
        <f>SUM(H1387:H1388)</f>
        <v>6.44</v>
      </c>
    </row>
    <row r="1390" spans="1:10" s="579" customFormat="1">
      <c r="A1390" s="601"/>
      <c r="B1390" s="780"/>
      <c r="C1390" s="780"/>
      <c r="D1390" s="780"/>
      <c r="E1390" s="740"/>
      <c r="F1390" s="768"/>
      <c r="G1390" s="769"/>
      <c r="H1390" s="770"/>
      <c r="I1390" s="400"/>
      <c r="J1390" s="404"/>
    </row>
    <row r="1391" spans="1:10" s="406" customFormat="1" ht="15">
      <c r="A1391" s="403" t="s">
        <v>2396</v>
      </c>
      <c r="B1391" s="961" t="s">
        <v>965</v>
      </c>
      <c r="C1391" s="961"/>
      <c r="D1391" s="961"/>
      <c r="E1391" s="961"/>
      <c r="F1391" s="961"/>
      <c r="G1391" s="402"/>
      <c r="H1391" s="403" t="s">
        <v>14</v>
      </c>
      <c r="I1391" s="407"/>
      <c r="J1391" s="408"/>
    </row>
    <row r="1392" spans="1:10">
      <c r="A1392" s="398"/>
      <c r="B1392" s="230" t="s">
        <v>966</v>
      </c>
      <c r="C1392" s="231" t="s">
        <v>14</v>
      </c>
      <c r="D1392" s="401">
        <v>1</v>
      </c>
      <c r="E1392" s="959">
        <f>Insumos!C267</f>
        <v>1.9110000000000003</v>
      </c>
      <c r="F1392" s="959"/>
      <c r="G1392" s="958">
        <f>ROUND(D1392*E1392,2)</f>
        <v>1.91</v>
      </c>
      <c r="H1392" s="958"/>
    </row>
    <row r="1393" spans="1:10">
      <c r="A1393" s="398"/>
      <c r="B1393" s="230" t="s">
        <v>513</v>
      </c>
      <c r="C1393" s="231" t="s">
        <v>112</v>
      </c>
      <c r="D1393" s="401">
        <v>0.1</v>
      </c>
      <c r="E1393" s="959">
        <f>Insumos!C268</f>
        <v>12.2759</v>
      </c>
      <c r="F1393" s="959"/>
      <c r="G1393" s="958">
        <f>ROUND(D1393*E1393,2)</f>
        <v>1.23</v>
      </c>
      <c r="H1393" s="958"/>
    </row>
    <row r="1394" spans="1:10">
      <c r="A1394" s="398"/>
      <c r="B1394" s="230" t="s">
        <v>514</v>
      </c>
      <c r="C1394" s="231" t="s">
        <v>112</v>
      </c>
      <c r="D1394" s="401">
        <v>0.1</v>
      </c>
      <c r="E1394" s="959">
        <f>Insumos!C269</f>
        <v>6.4064000000000005</v>
      </c>
      <c r="F1394" s="959"/>
      <c r="G1394" s="958">
        <f>ROUND(D1394*E1394,2)</f>
        <v>0.64</v>
      </c>
      <c r="H1394" s="958"/>
    </row>
    <row r="1395" spans="1:10">
      <c r="A1395" s="398"/>
      <c r="B1395" s="955" t="s">
        <v>536</v>
      </c>
      <c r="C1395" s="955"/>
      <c r="D1395" s="955"/>
      <c r="E1395" s="389"/>
      <c r="F1395" s="409"/>
      <c r="G1395" s="410"/>
      <c r="H1395" s="249">
        <f>SUM(G1392)</f>
        <v>1.91</v>
      </c>
    </row>
    <row r="1396" spans="1:10">
      <c r="A1396" s="398"/>
      <c r="B1396" s="955" t="s">
        <v>537</v>
      </c>
      <c r="C1396" s="955"/>
      <c r="D1396" s="955"/>
      <c r="E1396" s="389"/>
      <c r="F1396" s="409"/>
      <c r="G1396" s="410"/>
      <c r="H1396" s="249">
        <f>SUM(G1393:H1394)</f>
        <v>1.87</v>
      </c>
    </row>
    <row r="1397" spans="1:10">
      <c r="A1397" s="398"/>
      <c r="B1397" s="955" t="s">
        <v>1937</v>
      </c>
      <c r="C1397" s="955"/>
      <c r="D1397" s="955"/>
      <c r="E1397" s="389"/>
      <c r="F1397" s="409"/>
      <c r="G1397" s="410"/>
      <c r="H1397" s="249">
        <f>SUM(H1395:H1396)</f>
        <v>3.7800000000000002</v>
      </c>
    </row>
    <row r="1398" spans="1:10">
      <c r="A1398" s="398"/>
      <c r="B1398" s="955" t="s">
        <v>538</v>
      </c>
      <c r="C1398" s="955"/>
      <c r="D1398" s="955"/>
      <c r="E1398" s="389"/>
      <c r="F1398" s="411" t="s">
        <v>539</v>
      </c>
      <c r="G1398" s="410"/>
      <c r="H1398" s="249">
        <f>ROUND(H1397*F1398,2)</f>
        <v>0.94</v>
      </c>
    </row>
    <row r="1399" spans="1:10">
      <c r="A1399" s="398"/>
      <c r="B1399" s="956" t="s">
        <v>540</v>
      </c>
      <c r="C1399" s="956"/>
      <c r="D1399" s="956"/>
      <c r="E1399" s="740"/>
      <c r="F1399" s="768"/>
      <c r="G1399" s="769"/>
      <c r="H1399" s="770">
        <f>SUM(H1397:H1398)</f>
        <v>4.7200000000000006</v>
      </c>
    </row>
    <row r="1400" spans="1:10" s="579" customFormat="1">
      <c r="A1400" s="601"/>
      <c r="B1400" s="780"/>
      <c r="C1400" s="780"/>
      <c r="D1400" s="780"/>
      <c r="E1400" s="740"/>
      <c r="F1400" s="768"/>
      <c r="G1400" s="769"/>
      <c r="H1400" s="770"/>
      <c r="I1400" s="400"/>
      <c r="J1400" s="404"/>
    </row>
    <row r="1401" spans="1:10" s="406" customFormat="1" ht="26.45" customHeight="1">
      <c r="A1401" s="403" t="s">
        <v>2397</v>
      </c>
      <c r="B1401" s="961" t="s">
        <v>452</v>
      </c>
      <c r="C1401" s="961"/>
      <c r="D1401" s="961"/>
      <c r="E1401" s="961"/>
      <c r="F1401" s="961"/>
      <c r="G1401" s="402"/>
      <c r="H1401" s="403" t="s">
        <v>14</v>
      </c>
      <c r="I1401" s="407"/>
      <c r="J1401" s="408"/>
    </row>
    <row r="1402" spans="1:10" ht="22.5">
      <c r="A1402" s="398"/>
      <c r="B1402" s="230" t="s">
        <v>452</v>
      </c>
      <c r="C1402" s="231" t="s">
        <v>14</v>
      </c>
      <c r="D1402" s="401">
        <v>1</v>
      </c>
      <c r="E1402" s="959">
        <f>Insumos!C270</f>
        <v>101.92</v>
      </c>
      <c r="F1402" s="959"/>
      <c r="G1402" s="958">
        <f>ROUND(D1402*E1402,2)</f>
        <v>101.92</v>
      </c>
      <c r="H1402" s="958"/>
    </row>
    <row r="1403" spans="1:10">
      <c r="A1403" s="398"/>
      <c r="B1403" s="230" t="s">
        <v>513</v>
      </c>
      <c r="C1403" s="231" t="s">
        <v>112</v>
      </c>
      <c r="D1403" s="401">
        <v>0.15</v>
      </c>
      <c r="E1403" s="959">
        <f>Insumos!C271</f>
        <v>12.2759</v>
      </c>
      <c r="F1403" s="959"/>
      <c r="G1403" s="958">
        <f>ROUND(D1403*E1403,2)</f>
        <v>1.84</v>
      </c>
      <c r="H1403" s="958"/>
    </row>
    <row r="1404" spans="1:10">
      <c r="A1404" s="398"/>
      <c r="B1404" s="955" t="s">
        <v>536</v>
      </c>
      <c r="C1404" s="955"/>
      <c r="D1404" s="955"/>
      <c r="E1404" s="389"/>
      <c r="F1404" s="409"/>
      <c r="G1404" s="410"/>
      <c r="H1404" s="249">
        <f>SUM(G1402)</f>
        <v>101.92</v>
      </c>
    </row>
    <row r="1405" spans="1:10">
      <c r="A1405" s="398"/>
      <c r="B1405" s="955" t="s">
        <v>537</v>
      </c>
      <c r="C1405" s="955"/>
      <c r="D1405" s="955"/>
      <c r="E1405" s="389"/>
      <c r="F1405" s="409"/>
      <c r="G1405" s="410"/>
      <c r="H1405" s="249">
        <f>SUM(G1403)</f>
        <v>1.84</v>
      </c>
    </row>
    <row r="1406" spans="1:10">
      <c r="A1406" s="398"/>
      <c r="B1406" s="955" t="s">
        <v>1937</v>
      </c>
      <c r="C1406" s="955"/>
      <c r="D1406" s="955"/>
      <c r="E1406" s="389"/>
      <c r="F1406" s="409"/>
      <c r="G1406" s="410"/>
      <c r="H1406" s="249">
        <f>SUM(H1404:H1405)</f>
        <v>103.76</v>
      </c>
    </row>
    <row r="1407" spans="1:10">
      <c r="A1407" s="398"/>
      <c r="B1407" s="955" t="s">
        <v>538</v>
      </c>
      <c r="C1407" s="955"/>
      <c r="D1407" s="955"/>
      <c r="E1407" s="389"/>
      <c r="F1407" s="411" t="s">
        <v>539</v>
      </c>
      <c r="G1407" s="410"/>
      <c r="H1407" s="249">
        <f>ROUND(H1406*F1407,2)</f>
        <v>25.9</v>
      </c>
    </row>
    <row r="1408" spans="1:10">
      <c r="A1408" s="398"/>
      <c r="B1408" s="956" t="s">
        <v>540</v>
      </c>
      <c r="C1408" s="956"/>
      <c r="D1408" s="956"/>
      <c r="E1408" s="740"/>
      <c r="F1408" s="768"/>
      <c r="G1408" s="769"/>
      <c r="H1408" s="770">
        <f>SUM(H1406:H1407)</f>
        <v>129.66</v>
      </c>
    </row>
    <row r="1409" spans="1:10" s="579" customFormat="1">
      <c r="A1409" s="601"/>
      <c r="B1409" s="780"/>
      <c r="C1409" s="780"/>
      <c r="D1409" s="780"/>
      <c r="E1409" s="740"/>
      <c r="F1409" s="768"/>
      <c r="G1409" s="769"/>
      <c r="H1409" s="770"/>
      <c r="I1409" s="400"/>
      <c r="J1409" s="404"/>
    </row>
    <row r="1410" spans="1:10" s="406" customFormat="1" ht="15">
      <c r="A1410" s="403" t="s">
        <v>2398</v>
      </c>
      <c r="B1410" s="961" t="s">
        <v>453</v>
      </c>
      <c r="C1410" s="961"/>
      <c r="D1410" s="961"/>
      <c r="E1410" s="961"/>
      <c r="F1410" s="961"/>
      <c r="G1410" s="402"/>
      <c r="H1410" s="403" t="s">
        <v>14</v>
      </c>
      <c r="I1410" s="407"/>
      <c r="J1410" s="408"/>
    </row>
    <row r="1411" spans="1:10">
      <c r="A1411" s="398"/>
      <c r="B1411" s="230" t="s">
        <v>1459</v>
      </c>
      <c r="C1411" s="231" t="s">
        <v>14</v>
      </c>
      <c r="D1411" s="401">
        <v>1</v>
      </c>
      <c r="E1411" s="959">
        <v>42.24</v>
      </c>
      <c r="F1411" s="959"/>
      <c r="G1411" s="958">
        <f>ROUND(D1411*E1411,2)</f>
        <v>42.24</v>
      </c>
      <c r="H1411" s="958"/>
    </row>
    <row r="1412" spans="1:10">
      <c r="A1412" s="398"/>
      <c r="B1412" s="230" t="s">
        <v>513</v>
      </c>
      <c r="C1412" s="231" t="s">
        <v>112</v>
      </c>
      <c r="D1412" s="401">
        <v>0.15</v>
      </c>
      <c r="E1412" s="959">
        <f>Insumos!C273</f>
        <v>12.2759</v>
      </c>
      <c r="F1412" s="959"/>
      <c r="G1412" s="958">
        <f>ROUND(D1412*E1412,2)</f>
        <v>1.84</v>
      </c>
      <c r="H1412" s="958"/>
    </row>
    <row r="1413" spans="1:10">
      <c r="A1413" s="398"/>
      <c r="B1413" s="955" t="s">
        <v>536</v>
      </c>
      <c r="C1413" s="955"/>
      <c r="D1413" s="955"/>
      <c r="E1413" s="389"/>
      <c r="F1413" s="409"/>
      <c r="G1413" s="410"/>
      <c r="H1413" s="249">
        <f>SUM(G1411)</f>
        <v>42.24</v>
      </c>
    </row>
    <row r="1414" spans="1:10">
      <c r="A1414" s="398"/>
      <c r="B1414" s="955" t="s">
        <v>537</v>
      </c>
      <c r="C1414" s="955"/>
      <c r="D1414" s="955"/>
      <c r="E1414" s="389"/>
      <c r="F1414" s="409"/>
      <c r="G1414" s="410"/>
      <c r="H1414" s="249">
        <f>SUM(G1412)</f>
        <v>1.84</v>
      </c>
    </row>
    <row r="1415" spans="1:10">
      <c r="A1415" s="398"/>
      <c r="B1415" s="955" t="s">
        <v>1937</v>
      </c>
      <c r="C1415" s="955"/>
      <c r="D1415" s="955"/>
      <c r="E1415" s="389"/>
      <c r="F1415" s="409"/>
      <c r="G1415" s="410"/>
      <c r="H1415" s="249">
        <f>SUM(H1413:H1414)</f>
        <v>44.080000000000005</v>
      </c>
    </row>
    <row r="1416" spans="1:10">
      <c r="A1416" s="398"/>
      <c r="B1416" s="955" t="s">
        <v>538</v>
      </c>
      <c r="C1416" s="955"/>
      <c r="D1416" s="955"/>
      <c r="E1416" s="389"/>
      <c r="F1416" s="411" t="s">
        <v>539</v>
      </c>
      <c r="G1416" s="410"/>
      <c r="H1416" s="249">
        <f>ROUND(H1415*F1416,2)</f>
        <v>11</v>
      </c>
    </row>
    <row r="1417" spans="1:10">
      <c r="A1417" s="398"/>
      <c r="B1417" s="956" t="s">
        <v>540</v>
      </c>
      <c r="C1417" s="956"/>
      <c r="D1417" s="956"/>
      <c r="E1417" s="740"/>
      <c r="F1417" s="768"/>
      <c r="G1417" s="769"/>
      <c r="H1417" s="770">
        <f>SUM(H1415:H1416)</f>
        <v>55.080000000000005</v>
      </c>
    </row>
    <row r="1418" spans="1:10" s="579" customFormat="1">
      <c r="A1418" s="601"/>
      <c r="B1418" s="780"/>
      <c r="C1418" s="780"/>
      <c r="D1418" s="780"/>
      <c r="E1418" s="740"/>
      <c r="F1418" s="768"/>
      <c r="G1418" s="769"/>
      <c r="H1418" s="770"/>
      <c r="I1418" s="400"/>
      <c r="J1418" s="404"/>
    </row>
    <row r="1419" spans="1:10" s="406" customFormat="1" ht="15">
      <c r="A1419" s="403" t="s">
        <v>2399</v>
      </c>
      <c r="B1419" s="961" t="s">
        <v>454</v>
      </c>
      <c r="C1419" s="961"/>
      <c r="D1419" s="961"/>
      <c r="E1419" s="961"/>
      <c r="F1419" s="961"/>
      <c r="G1419" s="402"/>
      <c r="H1419" s="403" t="s">
        <v>14</v>
      </c>
      <c r="I1419" s="407"/>
      <c r="J1419" s="408"/>
    </row>
    <row r="1420" spans="1:10">
      <c r="A1420" s="398"/>
      <c r="B1420" s="230" t="s">
        <v>1461</v>
      </c>
      <c r="C1420" s="231" t="s">
        <v>14</v>
      </c>
      <c r="D1420" s="401">
        <v>1</v>
      </c>
      <c r="E1420" s="959">
        <v>42.22</v>
      </c>
      <c r="F1420" s="959"/>
      <c r="G1420" s="958">
        <f>ROUND(D1420*E1420,2)</f>
        <v>42.22</v>
      </c>
      <c r="H1420" s="958"/>
    </row>
    <row r="1421" spans="1:10">
      <c r="A1421" s="398"/>
      <c r="B1421" s="230" t="s">
        <v>513</v>
      </c>
      <c r="C1421" s="231" t="s">
        <v>112</v>
      </c>
      <c r="D1421" s="401">
        <v>0.15</v>
      </c>
      <c r="E1421" s="959">
        <f>Insumos!C275</f>
        <v>12.2759</v>
      </c>
      <c r="F1421" s="959"/>
      <c r="G1421" s="958">
        <f>ROUND(D1421*E1421,2)</f>
        <v>1.84</v>
      </c>
      <c r="H1421" s="958"/>
    </row>
    <row r="1422" spans="1:10">
      <c r="A1422" s="398"/>
      <c r="B1422" s="955" t="s">
        <v>536</v>
      </c>
      <c r="C1422" s="955"/>
      <c r="D1422" s="955"/>
      <c r="E1422" s="389"/>
      <c r="F1422" s="409"/>
      <c r="G1422" s="410"/>
      <c r="H1422" s="249">
        <f>SUM(G1420)</f>
        <v>42.22</v>
      </c>
    </row>
    <row r="1423" spans="1:10">
      <c r="A1423" s="398"/>
      <c r="B1423" s="955" t="s">
        <v>537</v>
      </c>
      <c r="C1423" s="955"/>
      <c r="D1423" s="955"/>
      <c r="E1423" s="389"/>
      <c r="F1423" s="409"/>
      <c r="G1423" s="410"/>
      <c r="H1423" s="249">
        <f>SUM(G1421)</f>
        <v>1.84</v>
      </c>
    </row>
    <row r="1424" spans="1:10">
      <c r="A1424" s="398"/>
      <c r="B1424" s="955" t="s">
        <v>1937</v>
      </c>
      <c r="C1424" s="955"/>
      <c r="D1424" s="955"/>
      <c r="E1424" s="389"/>
      <c r="F1424" s="409"/>
      <c r="G1424" s="410"/>
      <c r="H1424" s="249">
        <f>SUM(H1422:H1423)</f>
        <v>44.06</v>
      </c>
    </row>
    <row r="1425" spans="1:10">
      <c r="A1425" s="398"/>
      <c r="B1425" s="955" t="s">
        <v>538</v>
      </c>
      <c r="C1425" s="955"/>
      <c r="D1425" s="955"/>
      <c r="E1425" s="389"/>
      <c r="F1425" s="411" t="s">
        <v>539</v>
      </c>
      <c r="G1425" s="410"/>
      <c r="H1425" s="249">
        <f>ROUND(H1424*F1425,2)</f>
        <v>11</v>
      </c>
    </row>
    <row r="1426" spans="1:10">
      <c r="A1426" s="398"/>
      <c r="B1426" s="956" t="s">
        <v>540</v>
      </c>
      <c r="C1426" s="956"/>
      <c r="D1426" s="956"/>
      <c r="E1426" s="740"/>
      <c r="F1426" s="768"/>
      <c r="G1426" s="769"/>
      <c r="H1426" s="770">
        <f>SUM(H1424:H1425)</f>
        <v>55.06</v>
      </c>
    </row>
    <row r="1427" spans="1:10" s="579" customFormat="1">
      <c r="A1427" s="601"/>
      <c r="B1427" s="780"/>
      <c r="C1427" s="780"/>
      <c r="D1427" s="780"/>
      <c r="E1427" s="740"/>
      <c r="F1427" s="768"/>
      <c r="G1427" s="769"/>
      <c r="H1427" s="770"/>
      <c r="I1427" s="400"/>
      <c r="J1427" s="404"/>
    </row>
    <row r="1428" spans="1:10" s="406" customFormat="1" ht="15">
      <c r="A1428" s="403" t="s">
        <v>2400</v>
      </c>
      <c r="B1428" s="961" t="s">
        <v>2107</v>
      </c>
      <c r="C1428" s="961"/>
      <c r="D1428" s="961"/>
      <c r="E1428" s="961"/>
      <c r="F1428" s="961"/>
      <c r="G1428" s="402"/>
      <c r="H1428" s="403" t="s">
        <v>14</v>
      </c>
      <c r="I1428" s="407"/>
      <c r="J1428" s="408"/>
    </row>
    <row r="1429" spans="1:10">
      <c r="A1429" s="398"/>
      <c r="B1429" s="230" t="s">
        <v>1458</v>
      </c>
      <c r="C1429" s="231" t="s">
        <v>14</v>
      </c>
      <c r="D1429" s="401">
        <v>1</v>
      </c>
      <c r="E1429" s="959">
        <f>Insumos!C276</f>
        <v>35.6447</v>
      </c>
      <c r="F1429" s="959"/>
      <c r="G1429" s="958">
        <f>ROUND(D1429*E1429,2)</f>
        <v>35.64</v>
      </c>
      <c r="H1429" s="958"/>
    </row>
    <row r="1430" spans="1:10">
      <c r="A1430" s="398"/>
      <c r="B1430" s="230" t="s">
        <v>513</v>
      </c>
      <c r="C1430" s="231" t="s">
        <v>112</v>
      </c>
      <c r="D1430" s="401">
        <v>0.15</v>
      </c>
      <c r="E1430" s="959">
        <f>Insumos!C277</f>
        <v>12.2759</v>
      </c>
      <c r="F1430" s="959"/>
      <c r="G1430" s="958">
        <f>ROUND(D1430*E1430,2)</f>
        <v>1.84</v>
      </c>
      <c r="H1430" s="958"/>
    </row>
    <row r="1431" spans="1:10">
      <c r="A1431" s="398"/>
      <c r="B1431" s="955" t="s">
        <v>536</v>
      </c>
      <c r="C1431" s="955"/>
      <c r="D1431" s="955"/>
      <c r="E1431" s="389"/>
      <c r="F1431" s="409"/>
      <c r="G1431" s="410"/>
      <c r="H1431" s="249">
        <f>SUM(G1429)</f>
        <v>35.64</v>
      </c>
    </row>
    <row r="1432" spans="1:10">
      <c r="A1432" s="398"/>
      <c r="B1432" s="955" t="s">
        <v>537</v>
      </c>
      <c r="C1432" s="955"/>
      <c r="D1432" s="955"/>
      <c r="E1432" s="389"/>
      <c r="F1432" s="409"/>
      <c r="G1432" s="410"/>
      <c r="H1432" s="249">
        <f>SUM(G1430)</f>
        <v>1.84</v>
      </c>
    </row>
    <row r="1433" spans="1:10">
      <c r="A1433" s="398"/>
      <c r="B1433" s="955" t="s">
        <v>1937</v>
      </c>
      <c r="C1433" s="955"/>
      <c r="D1433" s="955"/>
      <c r="E1433" s="389"/>
      <c r="F1433" s="409"/>
      <c r="G1433" s="410"/>
      <c r="H1433" s="249">
        <f>SUM(H1431:H1432)</f>
        <v>37.480000000000004</v>
      </c>
    </row>
    <row r="1434" spans="1:10">
      <c r="A1434" s="398"/>
      <c r="B1434" s="955" t="s">
        <v>538</v>
      </c>
      <c r="C1434" s="955"/>
      <c r="D1434" s="955"/>
      <c r="E1434" s="389"/>
      <c r="F1434" s="411" t="s">
        <v>539</v>
      </c>
      <c r="G1434" s="410"/>
      <c r="H1434" s="249">
        <f>ROUND(H1433*F1434,2)</f>
        <v>9.36</v>
      </c>
    </row>
    <row r="1435" spans="1:10">
      <c r="A1435" s="398"/>
      <c r="B1435" s="956" t="s">
        <v>540</v>
      </c>
      <c r="C1435" s="956"/>
      <c r="D1435" s="956"/>
      <c r="E1435" s="740"/>
      <c r="F1435" s="768"/>
      <c r="G1435" s="769"/>
      <c r="H1435" s="770">
        <f>SUM(H1433:H1434)</f>
        <v>46.84</v>
      </c>
    </row>
    <row r="1436" spans="1:10" s="579" customFormat="1">
      <c r="A1436" s="601"/>
      <c r="B1436" s="780"/>
      <c r="C1436" s="780"/>
      <c r="D1436" s="780"/>
      <c r="E1436" s="740"/>
      <c r="F1436" s="768"/>
      <c r="G1436" s="769"/>
      <c r="H1436" s="770"/>
      <c r="I1436" s="400"/>
      <c r="J1436" s="404"/>
    </row>
    <row r="1437" spans="1:10" s="406" customFormat="1" ht="15">
      <c r="A1437" s="403" t="s">
        <v>2401</v>
      </c>
      <c r="B1437" s="961" t="s">
        <v>453</v>
      </c>
      <c r="C1437" s="961"/>
      <c r="D1437" s="961"/>
      <c r="E1437" s="961"/>
      <c r="F1437" s="961"/>
      <c r="G1437" s="402"/>
      <c r="H1437" s="403" t="s">
        <v>14</v>
      </c>
      <c r="I1437" s="407"/>
      <c r="J1437" s="408"/>
    </row>
    <row r="1438" spans="1:10">
      <c r="A1438" s="398"/>
      <c r="B1438" s="230" t="s">
        <v>1459</v>
      </c>
      <c r="C1438" s="231" t="s">
        <v>14</v>
      </c>
      <c r="D1438" s="401">
        <v>1</v>
      </c>
      <c r="E1438" s="959">
        <v>57.5</v>
      </c>
      <c r="F1438" s="959"/>
      <c r="G1438" s="958">
        <f>ROUND(D1438*E1438,2)</f>
        <v>57.5</v>
      </c>
      <c r="H1438" s="958"/>
    </row>
    <row r="1439" spans="1:10">
      <c r="A1439" s="398"/>
      <c r="B1439" s="230" t="s">
        <v>513</v>
      </c>
      <c r="C1439" s="231" t="s">
        <v>112</v>
      </c>
      <c r="D1439" s="401">
        <v>0.15</v>
      </c>
      <c r="E1439" s="959">
        <f>Insumos!C285</f>
        <v>12.2759</v>
      </c>
      <c r="F1439" s="959"/>
      <c r="G1439" s="958">
        <f>ROUND(D1439*E1439,2)</f>
        <v>1.84</v>
      </c>
      <c r="H1439" s="958"/>
    </row>
    <row r="1440" spans="1:10">
      <c r="A1440" s="398"/>
      <c r="B1440" s="955" t="s">
        <v>536</v>
      </c>
      <c r="C1440" s="955"/>
      <c r="D1440" s="955"/>
      <c r="E1440" s="389"/>
      <c r="F1440" s="409"/>
      <c r="G1440" s="410"/>
      <c r="H1440" s="249">
        <f>SUM(G1438)</f>
        <v>57.5</v>
      </c>
    </row>
    <row r="1441" spans="1:10">
      <c r="A1441" s="398"/>
      <c r="B1441" s="955" t="s">
        <v>537</v>
      </c>
      <c r="C1441" s="955"/>
      <c r="D1441" s="955"/>
      <c r="E1441" s="389"/>
      <c r="F1441" s="409"/>
      <c r="G1441" s="410"/>
      <c r="H1441" s="249">
        <f>SUM(G1439)</f>
        <v>1.84</v>
      </c>
    </row>
    <row r="1442" spans="1:10">
      <c r="A1442" s="398"/>
      <c r="B1442" s="955" t="s">
        <v>1937</v>
      </c>
      <c r="C1442" s="955"/>
      <c r="D1442" s="955"/>
      <c r="E1442" s="389"/>
      <c r="F1442" s="409"/>
      <c r="G1442" s="410"/>
      <c r="H1442" s="249">
        <f>SUM(H1440:H1441)</f>
        <v>59.34</v>
      </c>
    </row>
    <row r="1443" spans="1:10">
      <c r="A1443" s="398"/>
      <c r="B1443" s="955" t="s">
        <v>538</v>
      </c>
      <c r="C1443" s="955"/>
      <c r="D1443" s="955"/>
      <c r="E1443" s="389"/>
      <c r="F1443" s="411" t="s">
        <v>539</v>
      </c>
      <c r="G1443" s="410"/>
      <c r="H1443" s="249">
        <f>ROUND(H1442*F1443,2)</f>
        <v>14.81</v>
      </c>
    </row>
    <row r="1444" spans="1:10">
      <c r="A1444" s="398"/>
      <c r="B1444" s="956" t="s">
        <v>540</v>
      </c>
      <c r="C1444" s="956"/>
      <c r="D1444" s="956"/>
      <c r="E1444" s="740"/>
      <c r="F1444" s="768"/>
      <c r="G1444" s="769"/>
      <c r="H1444" s="770">
        <f>SUM(H1442:H1443)</f>
        <v>74.150000000000006</v>
      </c>
    </row>
    <row r="1445" spans="1:10" s="579" customFormat="1">
      <c r="A1445" s="601"/>
      <c r="B1445" s="780"/>
      <c r="C1445" s="780"/>
      <c r="D1445" s="780"/>
      <c r="E1445" s="740"/>
      <c r="F1445" s="768"/>
      <c r="G1445" s="769"/>
      <c r="H1445" s="770"/>
      <c r="I1445" s="400"/>
      <c r="J1445" s="404"/>
    </row>
    <row r="1446" spans="1:10" s="406" customFormat="1" ht="15">
      <c r="A1446" s="403" t="s">
        <v>2402</v>
      </c>
      <c r="B1446" s="961" t="s">
        <v>454</v>
      </c>
      <c r="C1446" s="961"/>
      <c r="D1446" s="961"/>
      <c r="E1446" s="961"/>
      <c r="F1446" s="961"/>
      <c r="G1446" s="402"/>
      <c r="H1446" s="403" t="s">
        <v>14</v>
      </c>
      <c r="I1446" s="407"/>
      <c r="J1446" s="408"/>
    </row>
    <row r="1447" spans="1:10">
      <c r="A1447" s="398"/>
      <c r="B1447" s="230" t="s">
        <v>1461</v>
      </c>
      <c r="C1447" s="231" t="s">
        <v>14</v>
      </c>
      <c r="D1447" s="401">
        <v>1</v>
      </c>
      <c r="E1447" s="959">
        <v>57.5</v>
      </c>
      <c r="F1447" s="959"/>
      <c r="G1447" s="958">
        <f>ROUND(D1447*E1447,2)</f>
        <v>57.5</v>
      </c>
      <c r="H1447" s="958"/>
    </row>
    <row r="1448" spans="1:10">
      <c r="A1448" s="398"/>
      <c r="B1448" s="230" t="s">
        <v>513</v>
      </c>
      <c r="C1448" s="231" t="s">
        <v>112</v>
      </c>
      <c r="D1448" s="401">
        <v>0.15</v>
      </c>
      <c r="E1448" s="959">
        <f>Insumos!C293</f>
        <v>12.2759</v>
      </c>
      <c r="F1448" s="959"/>
      <c r="G1448" s="958">
        <f>ROUND(D1448*E1448,2)</f>
        <v>1.84</v>
      </c>
      <c r="H1448" s="958"/>
    </row>
    <row r="1449" spans="1:10">
      <c r="A1449" s="398"/>
      <c r="B1449" s="955" t="s">
        <v>536</v>
      </c>
      <c r="C1449" s="955"/>
      <c r="D1449" s="955"/>
      <c r="E1449" s="389"/>
      <c r="F1449" s="409"/>
      <c r="G1449" s="410"/>
      <c r="H1449" s="249">
        <f>SUM(G1447)</f>
        <v>57.5</v>
      </c>
    </row>
    <row r="1450" spans="1:10">
      <c r="A1450" s="398"/>
      <c r="B1450" s="955" t="s">
        <v>537</v>
      </c>
      <c r="C1450" s="955"/>
      <c r="D1450" s="955"/>
      <c r="E1450" s="389"/>
      <c r="F1450" s="409"/>
      <c r="G1450" s="410"/>
      <c r="H1450" s="249">
        <f>SUM(G1448)</f>
        <v>1.84</v>
      </c>
    </row>
    <row r="1451" spans="1:10">
      <c r="A1451" s="398"/>
      <c r="B1451" s="955" t="s">
        <v>1937</v>
      </c>
      <c r="C1451" s="955"/>
      <c r="D1451" s="955"/>
      <c r="E1451" s="389"/>
      <c r="F1451" s="409"/>
      <c r="G1451" s="410"/>
      <c r="H1451" s="249">
        <f>SUM(H1449:H1450)</f>
        <v>59.34</v>
      </c>
    </row>
    <row r="1452" spans="1:10">
      <c r="A1452" s="398"/>
      <c r="B1452" s="955" t="s">
        <v>538</v>
      </c>
      <c r="C1452" s="955"/>
      <c r="D1452" s="955"/>
      <c r="E1452" s="389"/>
      <c r="F1452" s="411" t="s">
        <v>539</v>
      </c>
      <c r="G1452" s="410"/>
      <c r="H1452" s="249">
        <f>ROUND(H1451*F1452,2)</f>
        <v>14.81</v>
      </c>
    </row>
    <row r="1453" spans="1:10">
      <c r="A1453" s="398"/>
      <c r="B1453" s="956" t="s">
        <v>540</v>
      </c>
      <c r="C1453" s="956"/>
      <c r="D1453" s="956"/>
      <c r="E1453" s="740"/>
      <c r="F1453" s="768"/>
      <c r="G1453" s="769"/>
      <c r="H1453" s="770">
        <f>SUM(H1451:H1452)</f>
        <v>74.150000000000006</v>
      </c>
    </row>
    <row r="1454" spans="1:10" s="579" customFormat="1">
      <c r="A1454" s="601"/>
      <c r="B1454" s="780"/>
      <c r="C1454" s="780"/>
      <c r="D1454" s="780"/>
      <c r="E1454" s="740"/>
      <c r="F1454" s="768"/>
      <c r="G1454" s="769"/>
      <c r="H1454" s="770"/>
      <c r="I1454" s="400"/>
      <c r="J1454" s="404"/>
    </row>
    <row r="1455" spans="1:10" s="406" customFormat="1" ht="15">
      <c r="A1455" s="403" t="s">
        <v>2403</v>
      </c>
      <c r="B1455" s="961" t="s">
        <v>455</v>
      </c>
      <c r="C1455" s="961"/>
      <c r="D1455" s="961"/>
      <c r="E1455" s="961"/>
      <c r="F1455" s="961"/>
      <c r="G1455" s="402"/>
      <c r="H1455" s="403" t="s">
        <v>14</v>
      </c>
      <c r="I1455" s="407"/>
      <c r="J1455" s="408"/>
    </row>
    <row r="1456" spans="1:10">
      <c r="A1456" s="398"/>
      <c r="B1456" s="230" t="s">
        <v>1463</v>
      </c>
      <c r="C1456" s="231" t="s">
        <v>14</v>
      </c>
      <c r="D1456" s="401">
        <v>1</v>
      </c>
      <c r="E1456" s="959">
        <v>57.5</v>
      </c>
      <c r="F1456" s="959"/>
      <c r="G1456" s="958">
        <f>ROUND(D1456*E1456,2)</f>
        <v>57.5</v>
      </c>
      <c r="H1456" s="958"/>
    </row>
    <row r="1457" spans="1:10">
      <c r="A1457" s="398"/>
      <c r="B1457" s="230" t="s">
        <v>513</v>
      </c>
      <c r="C1457" s="231" t="s">
        <v>112</v>
      </c>
      <c r="D1457" s="401">
        <v>0.15</v>
      </c>
      <c r="E1457" s="959">
        <f>Insumos!C301</f>
        <v>12.2759</v>
      </c>
      <c r="F1457" s="959"/>
      <c r="G1457" s="958">
        <f>ROUND(D1457*E1457,2)</f>
        <v>1.84</v>
      </c>
      <c r="H1457" s="958"/>
    </row>
    <row r="1458" spans="1:10">
      <c r="A1458" s="398"/>
      <c r="B1458" s="955" t="s">
        <v>536</v>
      </c>
      <c r="C1458" s="955"/>
      <c r="D1458" s="955"/>
      <c r="E1458" s="389"/>
      <c r="F1458" s="409"/>
      <c r="G1458" s="410"/>
      <c r="H1458" s="249">
        <f>SUM(G1456)</f>
        <v>57.5</v>
      </c>
    </row>
    <row r="1459" spans="1:10">
      <c r="A1459" s="398"/>
      <c r="B1459" s="955" t="s">
        <v>537</v>
      </c>
      <c r="C1459" s="955"/>
      <c r="D1459" s="955"/>
      <c r="E1459" s="389"/>
      <c r="F1459" s="409"/>
      <c r="G1459" s="410"/>
      <c r="H1459" s="249">
        <f>SUM(G1457)</f>
        <v>1.84</v>
      </c>
    </row>
    <row r="1460" spans="1:10">
      <c r="A1460" s="398"/>
      <c r="B1460" s="955" t="s">
        <v>1937</v>
      </c>
      <c r="C1460" s="955"/>
      <c r="D1460" s="955"/>
      <c r="E1460" s="389"/>
      <c r="F1460" s="409"/>
      <c r="G1460" s="410"/>
      <c r="H1460" s="249">
        <f>SUM(H1458:H1459)</f>
        <v>59.34</v>
      </c>
    </row>
    <row r="1461" spans="1:10">
      <c r="A1461" s="398"/>
      <c r="B1461" s="955" t="s">
        <v>538</v>
      </c>
      <c r="C1461" s="955"/>
      <c r="D1461" s="955"/>
      <c r="E1461" s="389"/>
      <c r="F1461" s="411" t="s">
        <v>539</v>
      </c>
      <c r="G1461" s="410"/>
      <c r="H1461" s="249">
        <f>ROUND(H1460*F1461,2)</f>
        <v>14.81</v>
      </c>
    </row>
    <row r="1462" spans="1:10">
      <c r="A1462" s="398"/>
      <c r="B1462" s="956" t="s">
        <v>540</v>
      </c>
      <c r="C1462" s="956"/>
      <c r="D1462" s="956"/>
      <c r="E1462" s="740"/>
      <c r="F1462" s="768"/>
      <c r="G1462" s="769"/>
      <c r="H1462" s="770">
        <f>SUM(H1460:H1461)</f>
        <v>74.150000000000006</v>
      </c>
    </row>
    <row r="1463" spans="1:10" s="579" customFormat="1">
      <c r="A1463" s="601"/>
      <c r="B1463" s="780"/>
      <c r="C1463" s="780"/>
      <c r="D1463" s="780"/>
      <c r="E1463" s="740"/>
      <c r="F1463" s="768"/>
      <c r="G1463" s="769"/>
      <c r="H1463" s="770"/>
      <c r="I1463" s="400"/>
      <c r="J1463" s="404"/>
    </row>
    <row r="1464" spans="1:10" s="406" customFormat="1" ht="15">
      <c r="A1464" s="403" t="s">
        <v>2404</v>
      </c>
      <c r="B1464" s="961" t="s">
        <v>967</v>
      </c>
      <c r="C1464" s="961"/>
      <c r="D1464" s="961"/>
      <c r="E1464" s="961"/>
      <c r="F1464" s="961"/>
      <c r="G1464" s="402"/>
      <c r="H1464" s="403" t="s">
        <v>14</v>
      </c>
      <c r="I1464" s="407"/>
      <c r="J1464" s="408"/>
    </row>
    <row r="1465" spans="1:10">
      <c r="A1465" s="398"/>
      <c r="B1465" s="230" t="s">
        <v>968</v>
      </c>
      <c r="C1465" s="231" t="s">
        <v>14</v>
      </c>
      <c r="D1465" s="436">
        <v>1</v>
      </c>
      <c r="E1465" s="959">
        <f>Insumos!C278</f>
        <v>63.772800000000004</v>
      </c>
      <c r="F1465" s="959"/>
      <c r="G1465" s="958">
        <f>ROUND(D1465*E1465,2)</f>
        <v>63.77</v>
      </c>
      <c r="H1465" s="958"/>
    </row>
    <row r="1466" spans="1:10">
      <c r="A1466" s="398"/>
      <c r="B1466" s="230" t="s">
        <v>513</v>
      </c>
      <c r="C1466" s="231" t="s">
        <v>112</v>
      </c>
      <c r="D1466" s="436">
        <v>0.56999999999999995</v>
      </c>
      <c r="E1466" s="959">
        <f>Insumos!C279</f>
        <v>12.2759</v>
      </c>
      <c r="F1466" s="959"/>
      <c r="G1466" s="958">
        <f>ROUND(D1466*E1466,2)</f>
        <v>7</v>
      </c>
      <c r="H1466" s="958"/>
    </row>
    <row r="1467" spans="1:10">
      <c r="A1467" s="398"/>
      <c r="B1467" s="230" t="s">
        <v>514</v>
      </c>
      <c r="C1467" s="231" t="s">
        <v>112</v>
      </c>
      <c r="D1467" s="436">
        <v>0.53323076923078117</v>
      </c>
      <c r="E1467" s="959">
        <f>Insumos!C280</f>
        <v>6.4064000000000005</v>
      </c>
      <c r="F1467" s="959"/>
      <c r="G1467" s="958">
        <f>ROUND(D1467*E1467,2)</f>
        <v>3.42</v>
      </c>
      <c r="H1467" s="958"/>
    </row>
    <row r="1468" spans="1:10">
      <c r="A1468" s="398"/>
      <c r="B1468" s="955" t="s">
        <v>536</v>
      </c>
      <c r="C1468" s="955"/>
      <c r="D1468" s="955"/>
      <c r="E1468" s="389"/>
      <c r="F1468" s="409"/>
      <c r="G1468" s="410"/>
      <c r="H1468" s="249">
        <f>SUM(G1465)</f>
        <v>63.77</v>
      </c>
    </row>
    <row r="1469" spans="1:10">
      <c r="A1469" s="398"/>
      <c r="B1469" s="955" t="s">
        <v>537</v>
      </c>
      <c r="C1469" s="955"/>
      <c r="D1469" s="955"/>
      <c r="E1469" s="389"/>
      <c r="F1469" s="409"/>
      <c r="G1469" s="410"/>
      <c r="H1469" s="249">
        <f>SUM(G1466:H1467)</f>
        <v>10.42</v>
      </c>
    </row>
    <row r="1470" spans="1:10">
      <c r="A1470" s="398"/>
      <c r="B1470" s="955" t="s">
        <v>1937</v>
      </c>
      <c r="C1470" s="955"/>
      <c r="D1470" s="955"/>
      <c r="E1470" s="389"/>
      <c r="F1470" s="409"/>
      <c r="G1470" s="410"/>
      <c r="H1470" s="249">
        <f>SUM(H1468:H1469)</f>
        <v>74.19</v>
      </c>
    </row>
    <row r="1471" spans="1:10">
      <c r="A1471" s="398"/>
      <c r="B1471" s="955" t="s">
        <v>538</v>
      </c>
      <c r="C1471" s="955"/>
      <c r="D1471" s="955"/>
      <c r="E1471" s="389"/>
      <c r="F1471" s="411" t="s">
        <v>539</v>
      </c>
      <c r="G1471" s="410"/>
      <c r="H1471" s="249">
        <f>ROUND(H1470*F1471,2)</f>
        <v>18.52</v>
      </c>
    </row>
    <row r="1472" spans="1:10">
      <c r="A1472" s="398"/>
      <c r="B1472" s="956" t="s">
        <v>540</v>
      </c>
      <c r="C1472" s="956"/>
      <c r="D1472" s="956"/>
      <c r="E1472" s="740"/>
      <c r="F1472" s="768"/>
      <c r="G1472" s="769"/>
      <c r="H1472" s="770">
        <f>SUM(H1470:H1471)</f>
        <v>92.71</v>
      </c>
    </row>
    <row r="1473" spans="1:10" s="579" customFormat="1">
      <c r="A1473" s="601"/>
      <c r="B1473" s="780"/>
      <c r="C1473" s="780"/>
      <c r="D1473" s="780"/>
      <c r="E1473" s="740"/>
      <c r="F1473" s="768"/>
      <c r="G1473" s="769"/>
      <c r="H1473" s="770"/>
      <c r="I1473" s="400"/>
      <c r="J1473" s="404"/>
    </row>
    <row r="1474" spans="1:10" s="406" customFormat="1" ht="24.6" customHeight="1">
      <c r="A1474" s="403" t="s">
        <v>2405</v>
      </c>
      <c r="B1474" s="961" t="s">
        <v>969</v>
      </c>
      <c r="C1474" s="961"/>
      <c r="D1474" s="961"/>
      <c r="E1474" s="961"/>
      <c r="F1474" s="961"/>
      <c r="G1474" s="402"/>
      <c r="H1474" s="403" t="s">
        <v>14</v>
      </c>
      <c r="I1474" s="407"/>
      <c r="J1474" s="408"/>
    </row>
    <row r="1475" spans="1:10">
      <c r="A1475" s="398"/>
      <c r="B1475" s="230" t="s">
        <v>970</v>
      </c>
      <c r="C1475" s="231" t="s">
        <v>14</v>
      </c>
      <c r="D1475" s="436">
        <v>1</v>
      </c>
      <c r="E1475" s="959">
        <f>Insumos!C281</f>
        <v>531.75850000000003</v>
      </c>
      <c r="F1475" s="959"/>
      <c r="G1475" s="958">
        <f>ROUND(D1475*E1475,2)</f>
        <v>531.76</v>
      </c>
      <c r="H1475" s="958"/>
    </row>
    <row r="1476" spans="1:10">
      <c r="A1476" s="398"/>
      <c r="B1476" s="230" t="s">
        <v>513</v>
      </c>
      <c r="C1476" s="231" t="s">
        <v>112</v>
      </c>
      <c r="D1476" s="436">
        <v>0.40720000000000911</v>
      </c>
      <c r="E1476" s="959">
        <f>Insumos!C282</f>
        <v>12.2759</v>
      </c>
      <c r="F1476" s="959"/>
      <c r="G1476" s="958">
        <f>ROUND(D1476*E1476,2)</f>
        <v>5</v>
      </c>
      <c r="H1476" s="958"/>
    </row>
    <row r="1477" spans="1:10">
      <c r="A1477" s="398"/>
      <c r="B1477" s="230" t="s">
        <v>514</v>
      </c>
      <c r="C1477" s="231" t="s">
        <v>112</v>
      </c>
      <c r="D1477" s="436">
        <v>0.38511111111115237</v>
      </c>
      <c r="E1477" s="959">
        <f>Insumos!C283</f>
        <v>6.4064000000000005</v>
      </c>
      <c r="F1477" s="959"/>
      <c r="G1477" s="958">
        <f>ROUND(D1477*E1477,2)</f>
        <v>2.4700000000000002</v>
      </c>
      <c r="H1477" s="958"/>
    </row>
    <row r="1478" spans="1:10">
      <c r="A1478" s="398"/>
      <c r="B1478" s="955" t="s">
        <v>536</v>
      </c>
      <c r="C1478" s="955"/>
      <c r="D1478" s="955"/>
      <c r="E1478" s="389"/>
      <c r="F1478" s="409"/>
      <c r="G1478" s="410"/>
      <c r="H1478" s="249">
        <f>SUM(G1475)</f>
        <v>531.76</v>
      </c>
    </row>
    <row r="1479" spans="1:10">
      <c r="A1479" s="398"/>
      <c r="B1479" s="955" t="s">
        <v>537</v>
      </c>
      <c r="C1479" s="955"/>
      <c r="D1479" s="955"/>
      <c r="E1479" s="389"/>
      <c r="F1479" s="409"/>
      <c r="G1479" s="410"/>
      <c r="H1479" s="249">
        <f>SUM(G1476:H1477)</f>
        <v>7.4700000000000006</v>
      </c>
    </row>
    <row r="1480" spans="1:10">
      <c r="A1480" s="398"/>
      <c r="B1480" s="955" t="s">
        <v>1937</v>
      </c>
      <c r="C1480" s="955"/>
      <c r="D1480" s="955"/>
      <c r="E1480" s="389"/>
      <c r="F1480" s="409"/>
      <c r="G1480" s="410"/>
      <c r="H1480" s="249">
        <f>SUM(H1478:H1479)</f>
        <v>539.23</v>
      </c>
    </row>
    <row r="1481" spans="1:10">
      <c r="A1481" s="398"/>
      <c r="B1481" s="955" t="s">
        <v>538</v>
      </c>
      <c r="C1481" s="955"/>
      <c r="D1481" s="955"/>
      <c r="E1481" s="389"/>
      <c r="F1481" s="411" t="s">
        <v>539</v>
      </c>
      <c r="G1481" s="410"/>
      <c r="H1481" s="249">
        <f>ROUND(H1480*F1481,2)</f>
        <v>134.59</v>
      </c>
    </row>
    <row r="1482" spans="1:10">
      <c r="A1482" s="398"/>
      <c r="B1482" s="956" t="s">
        <v>540</v>
      </c>
      <c r="C1482" s="956"/>
      <c r="D1482" s="956"/>
      <c r="E1482" s="740"/>
      <c r="F1482" s="768"/>
      <c r="G1482" s="769"/>
      <c r="H1482" s="770">
        <f>SUM(H1480:H1481)</f>
        <v>673.82</v>
      </c>
    </row>
    <row r="1483" spans="1:10" s="579" customFormat="1">
      <c r="A1483" s="601"/>
      <c r="B1483" s="780"/>
      <c r="C1483" s="780"/>
      <c r="D1483" s="780"/>
      <c r="E1483" s="740"/>
      <c r="F1483" s="768"/>
      <c r="G1483" s="769"/>
      <c r="H1483" s="770"/>
      <c r="I1483" s="400"/>
      <c r="J1483" s="404"/>
    </row>
    <row r="1484" spans="1:10" s="406" customFormat="1" ht="24.6" customHeight="1">
      <c r="A1484" s="403" t="s">
        <v>2406</v>
      </c>
      <c r="B1484" s="961" t="s">
        <v>457</v>
      </c>
      <c r="C1484" s="961"/>
      <c r="D1484" s="961"/>
      <c r="E1484" s="961"/>
      <c r="F1484" s="961"/>
      <c r="G1484" s="402"/>
      <c r="H1484" s="403" t="s">
        <v>15</v>
      </c>
      <c r="I1484" s="407"/>
      <c r="J1484" s="408"/>
    </row>
    <row r="1485" spans="1:10">
      <c r="A1485" s="398"/>
      <c r="B1485" s="230" t="s">
        <v>972</v>
      </c>
      <c r="C1485" s="231" t="s">
        <v>15</v>
      </c>
      <c r="D1485" s="401">
        <v>1</v>
      </c>
      <c r="E1485" s="959">
        <f>Insumos!C284</f>
        <v>31.85</v>
      </c>
      <c r="F1485" s="959"/>
      <c r="G1485" s="958">
        <f>ROUND(D1485*E1485,2)</f>
        <v>31.85</v>
      </c>
      <c r="H1485" s="958"/>
    </row>
    <row r="1486" spans="1:10">
      <c r="A1486" s="398"/>
      <c r="B1486" s="230" t="s">
        <v>513</v>
      </c>
      <c r="C1486" s="231" t="s">
        <v>112</v>
      </c>
      <c r="D1486" s="401">
        <v>0.65</v>
      </c>
      <c r="E1486" s="959">
        <f>Insumos!C285</f>
        <v>12.2759</v>
      </c>
      <c r="F1486" s="959"/>
      <c r="G1486" s="958">
        <f>ROUND(D1486*E1486,2)</f>
        <v>7.98</v>
      </c>
      <c r="H1486" s="958"/>
    </row>
    <row r="1487" spans="1:10">
      <c r="A1487" s="398"/>
      <c r="B1487" s="230" t="s">
        <v>514</v>
      </c>
      <c r="C1487" s="231" t="s">
        <v>112</v>
      </c>
      <c r="D1487" s="401">
        <v>0.65</v>
      </c>
      <c r="E1487" s="959">
        <f>Insumos!C286</f>
        <v>6.4064000000000005</v>
      </c>
      <c r="F1487" s="959"/>
      <c r="G1487" s="958">
        <f>ROUND(D1487*E1487,2)</f>
        <v>4.16</v>
      </c>
      <c r="H1487" s="958"/>
    </row>
    <row r="1488" spans="1:10">
      <c r="A1488" s="398"/>
      <c r="B1488" s="955" t="s">
        <v>536</v>
      </c>
      <c r="C1488" s="955"/>
      <c r="D1488" s="955"/>
      <c r="E1488" s="389"/>
      <c r="F1488" s="409"/>
      <c r="G1488" s="410"/>
      <c r="H1488" s="249">
        <f>SUM(G1485)</f>
        <v>31.85</v>
      </c>
    </row>
    <row r="1489" spans="1:10">
      <c r="A1489" s="398"/>
      <c r="B1489" s="955" t="s">
        <v>537</v>
      </c>
      <c r="C1489" s="955"/>
      <c r="D1489" s="955"/>
      <c r="E1489" s="389"/>
      <c r="F1489" s="409"/>
      <c r="G1489" s="410"/>
      <c r="H1489" s="249">
        <f>SUM(G1486:H1487)</f>
        <v>12.14</v>
      </c>
    </row>
    <row r="1490" spans="1:10">
      <c r="A1490" s="398"/>
      <c r="B1490" s="955" t="s">
        <v>1937</v>
      </c>
      <c r="C1490" s="955"/>
      <c r="D1490" s="955"/>
      <c r="E1490" s="389"/>
      <c r="F1490" s="409"/>
      <c r="G1490" s="410"/>
      <c r="H1490" s="249">
        <f>SUM(H1488:H1489)</f>
        <v>43.99</v>
      </c>
    </row>
    <row r="1491" spans="1:10">
      <c r="A1491" s="398"/>
      <c r="B1491" s="955" t="s">
        <v>538</v>
      </c>
      <c r="C1491" s="955"/>
      <c r="D1491" s="955"/>
      <c r="E1491" s="389"/>
      <c r="F1491" s="411" t="s">
        <v>539</v>
      </c>
      <c r="G1491" s="410"/>
      <c r="H1491" s="249">
        <f>ROUND(H1490*F1491,2)</f>
        <v>10.98</v>
      </c>
    </row>
    <row r="1492" spans="1:10">
      <c r="A1492" s="398"/>
      <c r="B1492" s="956" t="s">
        <v>540</v>
      </c>
      <c r="C1492" s="956"/>
      <c r="D1492" s="956"/>
      <c r="E1492" s="740"/>
      <c r="F1492" s="768"/>
      <c r="G1492" s="769"/>
      <c r="H1492" s="770">
        <f>SUM(H1490:H1491)</f>
        <v>54.97</v>
      </c>
    </row>
    <row r="1493" spans="1:10" s="579" customFormat="1">
      <c r="A1493" s="601"/>
      <c r="B1493" s="780"/>
      <c r="C1493" s="780"/>
      <c r="D1493" s="780"/>
      <c r="E1493" s="740"/>
      <c r="F1493" s="768"/>
      <c r="G1493" s="769"/>
      <c r="H1493" s="770"/>
      <c r="I1493" s="400"/>
      <c r="J1493" s="404"/>
    </row>
    <row r="1494" spans="1:10" s="406" customFormat="1" ht="15">
      <c r="A1494" s="403" t="s">
        <v>2407</v>
      </c>
      <c r="B1494" s="961" t="s">
        <v>973</v>
      </c>
      <c r="C1494" s="961"/>
      <c r="D1494" s="961"/>
      <c r="E1494" s="961"/>
      <c r="F1494" s="961"/>
      <c r="G1494" s="402"/>
      <c r="H1494" s="403" t="s">
        <v>15</v>
      </c>
      <c r="I1494" s="407"/>
      <c r="J1494" s="408"/>
    </row>
    <row r="1495" spans="1:10">
      <c r="A1495" s="398"/>
      <c r="B1495" s="230" t="s">
        <v>974</v>
      </c>
      <c r="C1495" s="231" t="s">
        <v>15</v>
      </c>
      <c r="D1495" s="401">
        <v>1</v>
      </c>
      <c r="E1495" s="964">
        <f>Insumos!C287</f>
        <v>1.9656000000000002</v>
      </c>
      <c r="F1495" s="964"/>
      <c r="G1495" s="958">
        <f>ROUND(D1495*E1495,2)</f>
        <v>1.97</v>
      </c>
      <c r="H1495" s="958"/>
    </row>
    <row r="1496" spans="1:10">
      <c r="A1496" s="398"/>
      <c r="B1496" s="230" t="s">
        <v>975</v>
      </c>
      <c r="C1496" s="231" t="s">
        <v>14</v>
      </c>
      <c r="D1496" s="401">
        <v>1</v>
      </c>
      <c r="E1496" s="964">
        <f>Insumos!C288</f>
        <v>1.1011</v>
      </c>
      <c r="F1496" s="964"/>
      <c r="G1496" s="958">
        <f>ROUND(D1496*E1496,2)</f>
        <v>1.1000000000000001</v>
      </c>
      <c r="H1496" s="958"/>
    </row>
    <row r="1497" spans="1:10">
      <c r="A1497" s="398"/>
      <c r="B1497" s="230" t="s">
        <v>514</v>
      </c>
      <c r="C1497" s="231" t="s">
        <v>112</v>
      </c>
      <c r="D1497" s="401">
        <v>0.2</v>
      </c>
      <c r="E1497" s="959">
        <f>Insumos!C289</f>
        <v>6.4064000000000005</v>
      </c>
      <c r="F1497" s="959"/>
      <c r="G1497" s="958">
        <f>ROUND(D1497*E1497,2)</f>
        <v>1.28</v>
      </c>
      <c r="H1497" s="958"/>
    </row>
    <row r="1498" spans="1:10">
      <c r="A1498" s="398"/>
      <c r="B1498" s="230" t="s">
        <v>513</v>
      </c>
      <c r="C1498" s="231" t="s">
        <v>112</v>
      </c>
      <c r="D1498" s="401">
        <v>0.2</v>
      </c>
      <c r="E1498" s="959">
        <f>Insumos!C290</f>
        <v>12.2759</v>
      </c>
      <c r="F1498" s="959"/>
      <c r="G1498" s="958">
        <f>ROUND(D1498*E1498,2)</f>
        <v>2.46</v>
      </c>
      <c r="H1498" s="958"/>
    </row>
    <row r="1499" spans="1:10">
      <c r="A1499" s="398"/>
      <c r="B1499" s="955" t="s">
        <v>536</v>
      </c>
      <c r="C1499" s="955"/>
      <c r="D1499" s="955"/>
      <c r="E1499" s="389"/>
      <c r="F1499" s="409"/>
      <c r="G1499" s="410"/>
      <c r="H1499" s="249">
        <f>SUM(G1495:H1496)</f>
        <v>3.0700000000000003</v>
      </c>
    </row>
    <row r="1500" spans="1:10">
      <c r="A1500" s="398"/>
      <c r="B1500" s="955" t="s">
        <v>537</v>
      </c>
      <c r="C1500" s="955"/>
      <c r="D1500" s="955"/>
      <c r="E1500" s="389"/>
      <c r="F1500" s="409"/>
      <c r="G1500" s="410"/>
      <c r="H1500" s="249">
        <f>SUM(G1497:H1498)</f>
        <v>3.74</v>
      </c>
    </row>
    <row r="1501" spans="1:10">
      <c r="A1501" s="398"/>
      <c r="B1501" s="955" t="s">
        <v>1937</v>
      </c>
      <c r="C1501" s="955"/>
      <c r="D1501" s="955"/>
      <c r="E1501" s="389"/>
      <c r="F1501" s="409"/>
      <c r="G1501" s="410"/>
      <c r="H1501" s="249">
        <f>SUM(H1499:H1500)</f>
        <v>6.8100000000000005</v>
      </c>
    </row>
    <row r="1502" spans="1:10">
      <c r="A1502" s="398"/>
      <c r="B1502" s="955" t="s">
        <v>538</v>
      </c>
      <c r="C1502" s="955"/>
      <c r="D1502" s="955"/>
      <c r="E1502" s="389"/>
      <c r="F1502" s="411" t="s">
        <v>539</v>
      </c>
      <c r="G1502" s="410"/>
      <c r="H1502" s="249">
        <f>ROUND(H1501*F1502,2)</f>
        <v>1.7</v>
      </c>
    </row>
    <row r="1503" spans="1:10">
      <c r="A1503" s="398"/>
      <c r="B1503" s="956" t="s">
        <v>540</v>
      </c>
      <c r="C1503" s="956"/>
      <c r="D1503" s="956"/>
      <c r="E1503" s="740"/>
      <c r="F1503" s="768"/>
      <c r="G1503" s="769"/>
      <c r="H1503" s="770">
        <f>SUM(H1501:H1502)</f>
        <v>8.51</v>
      </c>
    </row>
    <row r="1504" spans="1:10" s="579" customFormat="1">
      <c r="A1504" s="601"/>
      <c r="B1504" s="780"/>
      <c r="C1504" s="780"/>
      <c r="D1504" s="780"/>
      <c r="E1504" s="740"/>
      <c r="F1504" s="768"/>
      <c r="G1504" s="769"/>
      <c r="H1504" s="770"/>
      <c r="I1504" s="400"/>
      <c r="J1504" s="404"/>
    </row>
    <row r="1505" spans="1:10" s="406" customFormat="1" ht="15">
      <c r="A1505" s="403" t="s">
        <v>2408</v>
      </c>
      <c r="B1505" s="961" t="s">
        <v>976</v>
      </c>
      <c r="C1505" s="961"/>
      <c r="D1505" s="961"/>
      <c r="E1505" s="961"/>
      <c r="F1505" s="961"/>
      <c r="G1505" s="402"/>
      <c r="H1505" s="403" t="s">
        <v>15</v>
      </c>
      <c r="I1505" s="407"/>
      <c r="J1505" s="408"/>
    </row>
    <row r="1506" spans="1:10">
      <c r="A1506" s="398"/>
      <c r="B1506" s="230" t="s">
        <v>976</v>
      </c>
      <c r="C1506" s="231" t="s">
        <v>15</v>
      </c>
      <c r="D1506" s="436">
        <v>1</v>
      </c>
      <c r="E1506" s="959">
        <f>Insumos!C291</f>
        <v>1.1921000000000002</v>
      </c>
      <c r="F1506" s="959"/>
      <c r="G1506" s="958">
        <f>ROUND(D1506*E1506,2)</f>
        <v>1.19</v>
      </c>
      <c r="H1506" s="958"/>
    </row>
    <row r="1507" spans="1:10">
      <c r="A1507" s="398"/>
      <c r="B1507" s="230" t="s">
        <v>514</v>
      </c>
      <c r="C1507" s="231" t="s">
        <v>112</v>
      </c>
      <c r="D1507" s="436">
        <v>0.11911680000000013</v>
      </c>
      <c r="E1507" s="959">
        <f>Insumos!C292</f>
        <v>6.4064000000000005</v>
      </c>
      <c r="F1507" s="959"/>
      <c r="G1507" s="958">
        <f>ROUND(D1507*E1507,2)</f>
        <v>0.76</v>
      </c>
      <c r="H1507" s="958"/>
    </row>
    <row r="1508" spans="1:10">
      <c r="A1508" s="398"/>
      <c r="B1508" s="230" t="s">
        <v>513</v>
      </c>
      <c r="C1508" s="231" t="s">
        <v>112</v>
      </c>
      <c r="D1508" s="436">
        <v>0.12</v>
      </c>
      <c r="E1508" s="959">
        <f>Insumos!C293</f>
        <v>12.2759</v>
      </c>
      <c r="F1508" s="959"/>
      <c r="G1508" s="958">
        <f>ROUND(D1508*E1508,2)</f>
        <v>1.47</v>
      </c>
      <c r="H1508" s="958"/>
    </row>
    <row r="1509" spans="1:10">
      <c r="A1509" s="398"/>
      <c r="B1509" s="955" t="s">
        <v>536</v>
      </c>
      <c r="C1509" s="955"/>
      <c r="D1509" s="955"/>
      <c r="E1509" s="389"/>
      <c r="F1509" s="409"/>
      <c r="G1509" s="410"/>
      <c r="H1509" s="249">
        <f>SUM(G1506)</f>
        <v>1.19</v>
      </c>
    </row>
    <row r="1510" spans="1:10">
      <c r="A1510" s="398"/>
      <c r="B1510" s="955" t="s">
        <v>537</v>
      </c>
      <c r="C1510" s="955"/>
      <c r="D1510" s="955"/>
      <c r="E1510" s="389"/>
      <c r="F1510" s="409"/>
      <c r="G1510" s="410"/>
      <c r="H1510" s="249">
        <f>SUM(G1507:H1508)</f>
        <v>2.23</v>
      </c>
    </row>
    <row r="1511" spans="1:10">
      <c r="A1511" s="398"/>
      <c r="B1511" s="955" t="s">
        <v>1937</v>
      </c>
      <c r="C1511" s="955"/>
      <c r="D1511" s="955"/>
      <c r="E1511" s="389"/>
      <c r="F1511" s="409"/>
      <c r="G1511" s="410"/>
      <c r="H1511" s="249">
        <f>SUM(H1509:H1510)</f>
        <v>3.42</v>
      </c>
    </row>
    <row r="1512" spans="1:10">
      <c r="A1512" s="398"/>
      <c r="B1512" s="955" t="s">
        <v>538</v>
      </c>
      <c r="C1512" s="955"/>
      <c r="D1512" s="955"/>
      <c r="E1512" s="389"/>
      <c r="F1512" s="411" t="s">
        <v>539</v>
      </c>
      <c r="G1512" s="410"/>
      <c r="H1512" s="249">
        <f>ROUND(H1511*F1512,2)</f>
        <v>0.85</v>
      </c>
    </row>
    <row r="1513" spans="1:10">
      <c r="A1513" s="398"/>
      <c r="B1513" s="956" t="s">
        <v>540</v>
      </c>
      <c r="C1513" s="956"/>
      <c r="D1513" s="956"/>
      <c r="E1513" s="740"/>
      <c r="F1513" s="768"/>
      <c r="G1513" s="769"/>
      <c r="H1513" s="770">
        <f>SUM(H1511:H1512)</f>
        <v>4.2699999999999996</v>
      </c>
    </row>
    <row r="1514" spans="1:10" s="579" customFormat="1">
      <c r="A1514" s="601"/>
      <c r="B1514" s="780"/>
      <c r="C1514" s="780"/>
      <c r="D1514" s="780"/>
      <c r="E1514" s="740"/>
      <c r="F1514" s="768"/>
      <c r="G1514" s="769"/>
      <c r="H1514" s="770"/>
      <c r="I1514" s="400"/>
      <c r="J1514" s="404"/>
    </row>
    <row r="1515" spans="1:10" s="406" customFormat="1" ht="15">
      <c r="A1515" s="403" t="s">
        <v>2409</v>
      </c>
      <c r="B1515" s="961" t="s">
        <v>977</v>
      </c>
      <c r="C1515" s="961"/>
      <c r="D1515" s="961"/>
      <c r="E1515" s="961"/>
      <c r="F1515" s="961"/>
      <c r="G1515" s="402"/>
      <c r="H1515" s="403" t="s">
        <v>15</v>
      </c>
      <c r="I1515" s="407"/>
      <c r="J1515" s="408"/>
    </row>
    <row r="1516" spans="1:10">
      <c r="A1516" s="398"/>
      <c r="B1516" s="230" t="s">
        <v>977</v>
      </c>
      <c r="C1516" s="231" t="s">
        <v>15</v>
      </c>
      <c r="D1516" s="436">
        <v>1</v>
      </c>
      <c r="E1516" s="959">
        <f>Insumos!C294</f>
        <v>1.5743</v>
      </c>
      <c r="F1516" s="959"/>
      <c r="G1516" s="958">
        <f>ROUND(D1516*E1516,2)</f>
        <v>1.57</v>
      </c>
      <c r="H1516" s="958"/>
    </row>
    <row r="1517" spans="1:10">
      <c r="A1517" s="398"/>
      <c r="B1517" s="230" t="s">
        <v>513</v>
      </c>
      <c r="C1517" s="231" t="s">
        <v>112</v>
      </c>
      <c r="D1517" s="436">
        <v>0.15375000000000005</v>
      </c>
      <c r="E1517" s="959">
        <f>Insumos!C295</f>
        <v>12.2759</v>
      </c>
      <c r="F1517" s="959"/>
      <c r="G1517" s="958">
        <f>ROUND(D1517*E1517,2)</f>
        <v>1.89</v>
      </c>
      <c r="H1517" s="958"/>
    </row>
    <row r="1518" spans="1:10">
      <c r="A1518" s="398"/>
      <c r="B1518" s="230" t="s">
        <v>514</v>
      </c>
      <c r="C1518" s="231" t="s">
        <v>112</v>
      </c>
      <c r="D1518" s="436">
        <v>0.14249999999999985</v>
      </c>
      <c r="E1518" s="959">
        <f>Insumos!C296</f>
        <v>6.4064000000000005</v>
      </c>
      <c r="F1518" s="959"/>
      <c r="G1518" s="958">
        <f>ROUND(D1518*E1518,2)</f>
        <v>0.91</v>
      </c>
      <c r="H1518" s="958"/>
    </row>
    <row r="1519" spans="1:10">
      <c r="A1519" s="398"/>
      <c r="B1519" s="955" t="s">
        <v>536</v>
      </c>
      <c r="C1519" s="955"/>
      <c r="D1519" s="955"/>
      <c r="E1519" s="389"/>
      <c r="F1519" s="409"/>
      <c r="G1519" s="410"/>
      <c r="H1519" s="249">
        <f>SUM(G1516)</f>
        <v>1.57</v>
      </c>
    </row>
    <row r="1520" spans="1:10">
      <c r="A1520" s="398"/>
      <c r="B1520" s="955" t="s">
        <v>537</v>
      </c>
      <c r="C1520" s="955"/>
      <c r="D1520" s="955"/>
      <c r="E1520" s="389"/>
      <c r="F1520" s="409"/>
      <c r="G1520" s="410"/>
      <c r="H1520" s="249">
        <f>SUM(G1517:H1518)</f>
        <v>2.8</v>
      </c>
    </row>
    <row r="1521" spans="1:10">
      <c r="A1521" s="398"/>
      <c r="B1521" s="955" t="s">
        <v>1937</v>
      </c>
      <c r="C1521" s="955"/>
      <c r="D1521" s="955"/>
      <c r="E1521" s="389"/>
      <c r="F1521" s="409"/>
      <c r="G1521" s="410"/>
      <c r="H1521" s="249">
        <f>SUM(H1519:H1520)</f>
        <v>4.37</v>
      </c>
    </row>
    <row r="1522" spans="1:10">
      <c r="A1522" s="398"/>
      <c r="B1522" s="955" t="s">
        <v>538</v>
      </c>
      <c r="C1522" s="955"/>
      <c r="D1522" s="955"/>
      <c r="E1522" s="389"/>
      <c r="F1522" s="411" t="s">
        <v>539</v>
      </c>
      <c r="G1522" s="410"/>
      <c r="H1522" s="249">
        <f>ROUND(H1521*F1522,2)</f>
        <v>1.0900000000000001</v>
      </c>
    </row>
    <row r="1523" spans="1:10">
      <c r="A1523" s="398"/>
      <c r="B1523" s="956" t="s">
        <v>540</v>
      </c>
      <c r="C1523" s="956"/>
      <c r="D1523" s="956"/>
      <c r="E1523" s="740"/>
      <c r="F1523" s="768"/>
      <c r="G1523" s="769"/>
      <c r="H1523" s="770">
        <f>SUM(H1521:H1522)</f>
        <v>5.46</v>
      </c>
    </row>
    <row r="1524" spans="1:10" s="579" customFormat="1">
      <c r="A1524" s="601"/>
      <c r="B1524" s="780"/>
      <c r="C1524" s="780"/>
      <c r="D1524" s="780"/>
      <c r="E1524" s="740"/>
      <c r="F1524" s="768"/>
      <c r="G1524" s="769"/>
      <c r="H1524" s="770"/>
      <c r="I1524" s="400"/>
      <c r="J1524" s="404"/>
    </row>
    <row r="1525" spans="1:10" s="406" customFormat="1" ht="15">
      <c r="A1525" s="403" t="s">
        <v>2410</v>
      </c>
      <c r="B1525" s="961" t="s">
        <v>978</v>
      </c>
      <c r="C1525" s="961"/>
      <c r="D1525" s="961"/>
      <c r="E1525" s="961"/>
      <c r="F1525" s="961"/>
      <c r="H1525" s="403" t="s">
        <v>14</v>
      </c>
      <c r="I1525" s="407"/>
      <c r="J1525" s="408"/>
    </row>
    <row r="1526" spans="1:10">
      <c r="A1526" s="398"/>
      <c r="B1526" s="230" t="s">
        <v>979</v>
      </c>
      <c r="C1526" s="231" t="s">
        <v>14</v>
      </c>
      <c r="D1526" s="436">
        <v>1</v>
      </c>
      <c r="E1526" s="959">
        <f>Insumos!C297</f>
        <v>23.068500000000004</v>
      </c>
      <c r="F1526" s="959"/>
      <c r="G1526" s="958">
        <f>ROUND(D1526*E1526,2)</f>
        <v>23.07</v>
      </c>
      <c r="H1526" s="958"/>
    </row>
    <row r="1527" spans="1:10">
      <c r="A1527" s="398"/>
      <c r="B1527" s="230" t="s">
        <v>513</v>
      </c>
      <c r="C1527" s="231" t="s">
        <v>112</v>
      </c>
      <c r="D1527" s="436">
        <v>0.39905599999999963</v>
      </c>
      <c r="E1527" s="959">
        <f>Insumos!C298</f>
        <v>12.2759</v>
      </c>
      <c r="F1527" s="959"/>
      <c r="G1527" s="958">
        <f>ROUND(D1527*E1527,2)</f>
        <v>4.9000000000000004</v>
      </c>
      <c r="H1527" s="958"/>
    </row>
    <row r="1528" spans="1:10">
      <c r="A1528" s="398"/>
      <c r="B1528" s="230" t="s">
        <v>514</v>
      </c>
      <c r="C1528" s="231" t="s">
        <v>112</v>
      </c>
      <c r="D1528" s="436">
        <v>0.4</v>
      </c>
      <c r="E1528" s="959">
        <f>Insumos!C299</f>
        <v>6.4064000000000005</v>
      </c>
      <c r="F1528" s="959"/>
      <c r="G1528" s="958">
        <f>ROUND(D1528*E1528,2)</f>
        <v>2.56</v>
      </c>
      <c r="H1528" s="958"/>
    </row>
    <row r="1529" spans="1:10">
      <c r="A1529" s="398"/>
      <c r="B1529" s="955" t="s">
        <v>536</v>
      </c>
      <c r="C1529" s="955"/>
      <c r="D1529" s="955"/>
      <c r="E1529" s="389"/>
      <c r="F1529" s="409"/>
      <c r="G1529" s="410"/>
      <c r="H1529" s="249">
        <f>SUM(G1526)</f>
        <v>23.07</v>
      </c>
    </row>
    <row r="1530" spans="1:10">
      <c r="A1530" s="398"/>
      <c r="B1530" s="955" t="s">
        <v>537</v>
      </c>
      <c r="C1530" s="955"/>
      <c r="D1530" s="955"/>
      <c r="E1530" s="389"/>
      <c r="F1530" s="409"/>
      <c r="G1530" s="410"/>
      <c r="H1530" s="249">
        <f>SUM(G1527:H1528)</f>
        <v>7.4600000000000009</v>
      </c>
    </row>
    <row r="1531" spans="1:10">
      <c r="A1531" s="398"/>
      <c r="B1531" s="955" t="s">
        <v>1937</v>
      </c>
      <c r="C1531" s="955"/>
      <c r="D1531" s="955"/>
      <c r="E1531" s="389"/>
      <c r="F1531" s="409"/>
      <c r="G1531" s="410"/>
      <c r="H1531" s="249">
        <f>SUM(H1529:H1530)</f>
        <v>30.53</v>
      </c>
    </row>
    <row r="1532" spans="1:10">
      <c r="A1532" s="398"/>
      <c r="B1532" s="955" t="s">
        <v>538</v>
      </c>
      <c r="C1532" s="955"/>
      <c r="D1532" s="955"/>
      <c r="E1532" s="389"/>
      <c r="F1532" s="411" t="s">
        <v>539</v>
      </c>
      <c r="G1532" s="410"/>
      <c r="H1532" s="249">
        <f>ROUND(H1531*F1532,2)</f>
        <v>7.62</v>
      </c>
    </row>
    <row r="1533" spans="1:10">
      <c r="A1533" s="398"/>
      <c r="B1533" s="956" t="s">
        <v>540</v>
      </c>
      <c r="C1533" s="956"/>
      <c r="D1533" s="956"/>
      <c r="E1533" s="740"/>
      <c r="F1533" s="768"/>
      <c r="G1533" s="769"/>
      <c r="H1533" s="770">
        <f>SUM(H1531:H1532)</f>
        <v>38.15</v>
      </c>
    </row>
    <row r="1534" spans="1:10" s="579" customFormat="1">
      <c r="A1534" s="601"/>
      <c r="B1534" s="780"/>
      <c r="C1534" s="780"/>
      <c r="D1534" s="780"/>
      <c r="E1534" s="740"/>
      <c r="F1534" s="768"/>
      <c r="G1534" s="769"/>
      <c r="H1534" s="770"/>
      <c r="I1534" s="400"/>
      <c r="J1534" s="404"/>
    </row>
    <row r="1535" spans="1:10" s="406" customFormat="1" ht="15">
      <c r="A1535" s="403" t="s">
        <v>2411</v>
      </c>
      <c r="B1535" s="961" t="s">
        <v>980</v>
      </c>
      <c r="C1535" s="961"/>
      <c r="D1535" s="961"/>
      <c r="E1535" s="961"/>
      <c r="F1535" s="961"/>
      <c r="G1535" s="402"/>
      <c r="H1535" s="403" t="s">
        <v>14</v>
      </c>
      <c r="I1535" s="407"/>
      <c r="J1535" s="408"/>
    </row>
    <row r="1536" spans="1:10">
      <c r="A1536" s="398"/>
      <c r="B1536" s="230" t="s">
        <v>981</v>
      </c>
      <c r="C1536" s="231" t="s">
        <v>14</v>
      </c>
      <c r="D1536" s="436">
        <v>1</v>
      </c>
      <c r="E1536" s="959">
        <f>Insumos!C300</f>
        <v>2.9302000000000001</v>
      </c>
      <c r="F1536" s="959"/>
      <c r="G1536" s="958">
        <f>ROUND(D1536*E1536,2)</f>
        <v>2.93</v>
      </c>
      <c r="H1536" s="958"/>
    </row>
    <row r="1537" spans="1:10">
      <c r="A1537" s="398"/>
      <c r="B1537" s="230" t="s">
        <v>513</v>
      </c>
      <c r="C1537" s="231" t="s">
        <v>112</v>
      </c>
      <c r="D1537" s="436">
        <v>0.24507903766666667</v>
      </c>
      <c r="E1537" s="959">
        <f>Insumos!C301</f>
        <v>12.2759</v>
      </c>
      <c r="F1537" s="959"/>
      <c r="G1537" s="958">
        <f>ROUND(D1537*E1537,2)</f>
        <v>3.01</v>
      </c>
      <c r="H1537" s="958"/>
    </row>
    <row r="1538" spans="1:10">
      <c r="A1538" s="398"/>
      <c r="B1538" s="230" t="s">
        <v>514</v>
      </c>
      <c r="C1538" s="231" t="s">
        <v>112</v>
      </c>
      <c r="D1538" s="436">
        <v>0.15900000000000028</v>
      </c>
      <c r="E1538" s="959">
        <f>Insumos!C302</f>
        <v>6.4064000000000005</v>
      </c>
      <c r="F1538" s="959"/>
      <c r="G1538" s="958">
        <f>ROUND(D1538*E1538,2)</f>
        <v>1.02</v>
      </c>
      <c r="H1538" s="958"/>
    </row>
    <row r="1539" spans="1:10">
      <c r="A1539" s="398"/>
      <c r="B1539" s="955" t="s">
        <v>536</v>
      </c>
      <c r="C1539" s="955"/>
      <c r="D1539" s="955"/>
      <c r="E1539" s="389"/>
      <c r="F1539" s="409"/>
      <c r="G1539" s="410"/>
      <c r="H1539" s="249">
        <f>SUM(G1536)</f>
        <v>2.93</v>
      </c>
    </row>
    <row r="1540" spans="1:10">
      <c r="A1540" s="398"/>
      <c r="B1540" s="955" t="s">
        <v>537</v>
      </c>
      <c r="C1540" s="955"/>
      <c r="D1540" s="955"/>
      <c r="E1540" s="389"/>
      <c r="F1540" s="409"/>
      <c r="G1540" s="410"/>
      <c r="H1540" s="249">
        <f>SUM(G1537:H1538)</f>
        <v>4.0299999999999994</v>
      </c>
    </row>
    <row r="1541" spans="1:10">
      <c r="A1541" s="398"/>
      <c r="B1541" s="955" t="s">
        <v>1937</v>
      </c>
      <c r="C1541" s="955"/>
      <c r="D1541" s="955"/>
      <c r="E1541" s="389"/>
      <c r="F1541" s="409"/>
      <c r="G1541" s="410"/>
      <c r="H1541" s="249">
        <f>SUM(H1539:H1540)</f>
        <v>6.9599999999999991</v>
      </c>
    </row>
    <row r="1542" spans="1:10">
      <c r="A1542" s="398"/>
      <c r="B1542" s="955" t="s">
        <v>538</v>
      </c>
      <c r="C1542" s="955"/>
      <c r="D1542" s="955"/>
      <c r="E1542" s="389"/>
      <c r="F1542" s="411" t="s">
        <v>539</v>
      </c>
      <c r="G1542" s="410"/>
      <c r="H1542" s="249">
        <f>ROUND(H1541*F1542,2)</f>
        <v>1.74</v>
      </c>
    </row>
    <row r="1543" spans="1:10">
      <c r="A1543" s="398"/>
      <c r="B1543" s="956" t="s">
        <v>540</v>
      </c>
      <c r="C1543" s="956"/>
      <c r="D1543" s="956"/>
      <c r="E1543" s="740"/>
      <c r="F1543" s="768"/>
      <c r="G1543" s="769"/>
      <c r="H1543" s="770">
        <f>SUM(H1541:H1542)</f>
        <v>8.6999999999999993</v>
      </c>
    </row>
    <row r="1544" spans="1:10" s="579" customFormat="1">
      <c r="A1544" s="601"/>
      <c r="B1544" s="780"/>
      <c r="C1544" s="780"/>
      <c r="D1544" s="780"/>
      <c r="E1544" s="740"/>
      <c r="F1544" s="768"/>
      <c r="G1544" s="769"/>
      <c r="H1544" s="770"/>
      <c r="I1544" s="400"/>
      <c r="J1544" s="404"/>
    </row>
    <row r="1545" spans="1:10" s="406" customFormat="1" ht="15">
      <c r="A1545" s="403" t="s">
        <v>2412</v>
      </c>
      <c r="B1545" s="961" t="s">
        <v>982</v>
      </c>
      <c r="C1545" s="961"/>
      <c r="D1545" s="961"/>
      <c r="E1545" s="961"/>
      <c r="F1545" s="961"/>
      <c r="G1545" s="402"/>
      <c r="H1545" s="403" t="s">
        <v>14</v>
      </c>
      <c r="I1545" s="407"/>
      <c r="J1545" s="408"/>
    </row>
    <row r="1546" spans="1:10">
      <c r="A1546" s="398"/>
      <c r="B1546" s="230" t="s">
        <v>983</v>
      </c>
      <c r="C1546" s="231" t="s">
        <v>14</v>
      </c>
      <c r="D1546" s="436">
        <v>1</v>
      </c>
      <c r="E1546" s="959">
        <f>Insumos!C303</f>
        <v>4.2952000000000004</v>
      </c>
      <c r="F1546" s="959"/>
      <c r="G1546" s="958">
        <f>ROUND(D1546*E1546,2)</f>
        <v>4.3</v>
      </c>
      <c r="H1546" s="958"/>
    </row>
    <row r="1547" spans="1:10">
      <c r="A1547" s="398"/>
      <c r="B1547" s="230" t="s">
        <v>513</v>
      </c>
      <c r="C1547" s="231" t="s">
        <v>112</v>
      </c>
      <c r="D1547" s="436">
        <v>0.5240526315789471</v>
      </c>
      <c r="E1547" s="959">
        <f>Insumos!C304</f>
        <v>12.2759</v>
      </c>
      <c r="F1547" s="959"/>
      <c r="G1547" s="958">
        <f>ROUND(D1547*E1547,2)</f>
        <v>6.43</v>
      </c>
      <c r="H1547" s="958"/>
    </row>
    <row r="1548" spans="1:10">
      <c r="A1548" s="398"/>
      <c r="B1548" s="230" t="s">
        <v>514</v>
      </c>
      <c r="C1548" s="231" t="s">
        <v>112</v>
      </c>
      <c r="D1548" s="436">
        <v>0.21293750000000011</v>
      </c>
      <c r="E1548" s="959">
        <f>Insumos!C305</f>
        <v>6.4064000000000005</v>
      </c>
      <c r="F1548" s="959"/>
      <c r="G1548" s="958">
        <f>ROUND(D1548*E1548,2)</f>
        <v>1.36</v>
      </c>
      <c r="H1548" s="958"/>
    </row>
    <row r="1549" spans="1:10">
      <c r="A1549" s="398"/>
      <c r="B1549" s="955" t="s">
        <v>536</v>
      </c>
      <c r="C1549" s="955"/>
      <c r="D1549" s="955"/>
      <c r="E1549" s="389"/>
      <c r="F1549" s="409"/>
      <c r="G1549" s="410"/>
      <c r="H1549" s="249">
        <f>SUM(G1546)</f>
        <v>4.3</v>
      </c>
    </row>
    <row r="1550" spans="1:10">
      <c r="A1550" s="398"/>
      <c r="B1550" s="955" t="s">
        <v>537</v>
      </c>
      <c r="C1550" s="955"/>
      <c r="D1550" s="955"/>
      <c r="E1550" s="389"/>
      <c r="F1550" s="409"/>
      <c r="G1550" s="410"/>
      <c r="H1550" s="249">
        <f>SUM(G1547:H1548)</f>
        <v>7.79</v>
      </c>
    </row>
    <row r="1551" spans="1:10">
      <c r="A1551" s="398"/>
      <c r="B1551" s="955" t="s">
        <v>1937</v>
      </c>
      <c r="C1551" s="955"/>
      <c r="D1551" s="955"/>
      <c r="E1551" s="389"/>
      <c r="F1551" s="409"/>
      <c r="G1551" s="410"/>
      <c r="H1551" s="249">
        <f>SUM(H1549:H1550)</f>
        <v>12.09</v>
      </c>
    </row>
    <row r="1552" spans="1:10">
      <c r="A1552" s="398"/>
      <c r="B1552" s="955" t="s">
        <v>538</v>
      </c>
      <c r="C1552" s="955"/>
      <c r="D1552" s="955"/>
      <c r="E1552" s="389"/>
      <c r="F1552" s="411" t="s">
        <v>539</v>
      </c>
      <c r="G1552" s="410"/>
      <c r="H1552" s="249">
        <f>ROUND(H1551*F1552,2)</f>
        <v>3.02</v>
      </c>
    </row>
    <row r="1553" spans="1:10">
      <c r="A1553" s="398"/>
      <c r="B1553" s="956" t="s">
        <v>540</v>
      </c>
      <c r="C1553" s="956"/>
      <c r="D1553" s="956"/>
      <c r="E1553" s="740"/>
      <c r="F1553" s="768"/>
      <c r="G1553" s="769"/>
      <c r="H1553" s="770">
        <f>SUM(H1551:H1552)</f>
        <v>15.11</v>
      </c>
    </row>
    <row r="1554" spans="1:10" s="579" customFormat="1">
      <c r="A1554" s="601"/>
      <c r="B1554" s="780"/>
      <c r="C1554" s="780"/>
      <c r="D1554" s="780"/>
      <c r="E1554" s="740"/>
      <c r="F1554" s="768"/>
      <c r="G1554" s="769"/>
      <c r="H1554" s="770"/>
      <c r="I1554" s="400"/>
      <c r="J1554" s="404"/>
    </row>
    <row r="1555" spans="1:10" s="406" customFormat="1" ht="15">
      <c r="A1555" s="403" t="s">
        <v>2413</v>
      </c>
      <c r="B1555" s="960" t="s">
        <v>1729</v>
      </c>
      <c r="C1555" s="960"/>
      <c r="D1555" s="960"/>
      <c r="E1555" s="960"/>
      <c r="F1555" s="960"/>
      <c r="G1555" s="402"/>
      <c r="H1555" s="403" t="s">
        <v>14</v>
      </c>
      <c r="I1555" s="407"/>
      <c r="J1555" s="408"/>
    </row>
    <row r="1556" spans="1:10" ht="33.75">
      <c r="A1556" s="398"/>
      <c r="B1556" s="449" t="s">
        <v>1556</v>
      </c>
      <c r="C1556" s="448" t="s">
        <v>14</v>
      </c>
      <c r="D1556" s="437">
        <v>1</v>
      </c>
      <c r="E1556" s="974">
        <f>Insumos!C306</f>
        <v>50.468600000000002</v>
      </c>
      <c r="F1556" s="974"/>
      <c r="G1556" s="958">
        <f>ROUND(D1556*E1556,2)</f>
        <v>50.47</v>
      </c>
      <c r="H1556" s="958"/>
    </row>
    <row r="1557" spans="1:10">
      <c r="A1557" s="398"/>
      <c r="B1557" s="230" t="s">
        <v>513</v>
      </c>
      <c r="C1557" s="231" t="s">
        <v>112</v>
      </c>
      <c r="D1557" s="436">
        <v>1</v>
      </c>
      <c r="E1557" s="959">
        <f>Insumos!C307</f>
        <v>12.2759</v>
      </c>
      <c r="F1557" s="959"/>
      <c r="G1557" s="958">
        <f>ROUND(D1557*E1557,2)</f>
        <v>12.28</v>
      </c>
      <c r="H1557" s="958"/>
    </row>
    <row r="1558" spans="1:10">
      <c r="A1558" s="398"/>
      <c r="B1558" s="230" t="s">
        <v>535</v>
      </c>
      <c r="C1558" s="231" t="s">
        <v>112</v>
      </c>
      <c r="D1558" s="436">
        <v>0.99988749999999471</v>
      </c>
      <c r="E1558" s="959">
        <f>Insumos!C308</f>
        <v>6.4064000000000005</v>
      </c>
      <c r="F1558" s="959"/>
      <c r="G1558" s="958">
        <f>ROUND(D1558*E1558,2)</f>
        <v>6.41</v>
      </c>
      <c r="H1558" s="958"/>
    </row>
    <row r="1559" spans="1:10">
      <c r="A1559" s="398"/>
      <c r="B1559" s="955" t="s">
        <v>536</v>
      </c>
      <c r="C1559" s="955"/>
      <c r="D1559" s="955"/>
      <c r="E1559" s="389"/>
      <c r="F1559" s="409"/>
      <c r="G1559" s="410"/>
      <c r="H1559" s="249">
        <f>SUM(G1556)</f>
        <v>50.47</v>
      </c>
    </row>
    <row r="1560" spans="1:10">
      <c r="A1560" s="398"/>
      <c r="B1560" s="955" t="s">
        <v>537</v>
      </c>
      <c r="C1560" s="955"/>
      <c r="D1560" s="955"/>
      <c r="E1560" s="389"/>
      <c r="F1560" s="409"/>
      <c r="G1560" s="410"/>
      <c r="H1560" s="249">
        <f>SUM(G1557:H1558)</f>
        <v>18.689999999999998</v>
      </c>
    </row>
    <row r="1561" spans="1:10">
      <c r="A1561" s="398"/>
      <c r="B1561" s="955" t="s">
        <v>1937</v>
      </c>
      <c r="C1561" s="955"/>
      <c r="D1561" s="955"/>
      <c r="E1561" s="389"/>
      <c r="F1561" s="409"/>
      <c r="G1561" s="410"/>
      <c r="H1561" s="249">
        <f>SUM(H1559:H1560)</f>
        <v>69.16</v>
      </c>
    </row>
    <row r="1562" spans="1:10">
      <c r="A1562" s="398"/>
      <c r="B1562" s="955" t="s">
        <v>538</v>
      </c>
      <c r="C1562" s="955"/>
      <c r="D1562" s="955"/>
      <c r="E1562" s="389"/>
      <c r="F1562" s="411" t="s">
        <v>539</v>
      </c>
      <c r="G1562" s="410"/>
      <c r="H1562" s="249">
        <f>ROUND(H1561*F1562,2)</f>
        <v>17.260000000000002</v>
      </c>
    </row>
    <row r="1563" spans="1:10">
      <c r="A1563" s="398"/>
      <c r="B1563" s="956" t="s">
        <v>540</v>
      </c>
      <c r="C1563" s="956"/>
      <c r="D1563" s="956"/>
      <c r="E1563" s="740"/>
      <c r="F1563" s="768"/>
      <c r="G1563" s="769"/>
      <c r="H1563" s="770">
        <f>SUM(H1561:H1562)</f>
        <v>86.42</v>
      </c>
    </row>
    <row r="1564" spans="1:10" s="579" customFormat="1">
      <c r="A1564" s="601"/>
      <c r="B1564" s="780"/>
      <c r="C1564" s="780"/>
      <c r="D1564" s="780"/>
      <c r="E1564" s="740"/>
      <c r="F1564" s="768"/>
      <c r="G1564" s="769"/>
      <c r="H1564" s="770"/>
      <c r="I1564" s="400"/>
      <c r="J1564" s="404"/>
    </row>
    <row r="1565" spans="1:10" s="406" customFormat="1" ht="15">
      <c r="A1565" s="403" t="s">
        <v>2414</v>
      </c>
      <c r="B1565" s="961" t="s">
        <v>984</v>
      </c>
      <c r="C1565" s="961"/>
      <c r="D1565" s="961"/>
      <c r="E1565" s="961"/>
      <c r="F1565" s="961"/>
      <c r="G1565" s="402"/>
      <c r="H1565" s="403" t="s">
        <v>14</v>
      </c>
      <c r="I1565" s="407"/>
      <c r="J1565" s="408"/>
    </row>
    <row r="1566" spans="1:10">
      <c r="A1566" s="398"/>
      <c r="B1566" s="230" t="s">
        <v>954</v>
      </c>
      <c r="C1566" s="231" t="s">
        <v>14</v>
      </c>
      <c r="D1566" s="436">
        <v>0.06</v>
      </c>
      <c r="E1566" s="959">
        <f>Insumos!C309</f>
        <v>0.80080000000000007</v>
      </c>
      <c r="F1566" s="959"/>
      <c r="G1566" s="958">
        <f>ROUND(D1566*E1566,2)</f>
        <v>0.05</v>
      </c>
      <c r="H1566" s="958"/>
    </row>
    <row r="1567" spans="1:10">
      <c r="A1567" s="398"/>
      <c r="B1567" s="230" t="s">
        <v>985</v>
      </c>
      <c r="C1567" s="231" t="s">
        <v>14</v>
      </c>
      <c r="D1567" s="436">
        <v>1</v>
      </c>
      <c r="E1567" s="959">
        <f>Insumos!C310</f>
        <v>8.6722999999999999</v>
      </c>
      <c r="F1567" s="959"/>
      <c r="G1567" s="958">
        <f>ROUND(D1567*E1567,2)</f>
        <v>8.67</v>
      </c>
      <c r="H1567" s="958"/>
    </row>
    <row r="1568" spans="1:10">
      <c r="A1568" s="398"/>
      <c r="B1568" s="230" t="s">
        <v>514</v>
      </c>
      <c r="C1568" s="231" t="s">
        <v>112</v>
      </c>
      <c r="D1568" s="436">
        <v>0.5</v>
      </c>
      <c r="E1568" s="959">
        <f>Insumos!C311</f>
        <v>6.4064000000000005</v>
      </c>
      <c r="F1568" s="959"/>
      <c r="G1568" s="958">
        <f>ROUND(D1568*E1568,2)</f>
        <v>3.2</v>
      </c>
      <c r="H1568" s="958"/>
    </row>
    <row r="1569" spans="1:10">
      <c r="A1569" s="398"/>
      <c r="B1569" s="230" t="s">
        <v>513</v>
      </c>
      <c r="C1569" s="231" t="s">
        <v>112</v>
      </c>
      <c r="D1569" s="436">
        <v>0.5</v>
      </c>
      <c r="E1569" s="959">
        <f>Insumos!C312</f>
        <v>12.2759</v>
      </c>
      <c r="F1569" s="959"/>
      <c r="G1569" s="958">
        <f>ROUND(D1569*E1569,2)</f>
        <v>6.14</v>
      </c>
      <c r="H1569" s="958"/>
    </row>
    <row r="1570" spans="1:10">
      <c r="A1570" s="398"/>
      <c r="B1570" s="955" t="s">
        <v>536</v>
      </c>
      <c r="C1570" s="955"/>
      <c r="D1570" s="955"/>
      <c r="E1570" s="389"/>
      <c r="F1570" s="409"/>
      <c r="G1570" s="410"/>
      <c r="H1570" s="249">
        <f>SUM(G1566:H1567)</f>
        <v>8.7200000000000006</v>
      </c>
    </row>
    <row r="1571" spans="1:10">
      <c r="A1571" s="398"/>
      <c r="B1571" s="955" t="s">
        <v>537</v>
      </c>
      <c r="C1571" s="955"/>
      <c r="D1571" s="955"/>
      <c r="E1571" s="389"/>
      <c r="F1571" s="409"/>
      <c r="G1571" s="410"/>
      <c r="H1571" s="249">
        <f>SUM(G1568:H1569)</f>
        <v>9.34</v>
      </c>
    </row>
    <row r="1572" spans="1:10">
      <c r="A1572" s="398"/>
      <c r="B1572" s="955" t="s">
        <v>1937</v>
      </c>
      <c r="C1572" s="955"/>
      <c r="D1572" s="955"/>
      <c r="E1572" s="389"/>
      <c r="F1572" s="409"/>
      <c r="G1572" s="410"/>
      <c r="H1572" s="249">
        <f>SUM(H1570:H1571)</f>
        <v>18.060000000000002</v>
      </c>
    </row>
    <row r="1573" spans="1:10">
      <c r="A1573" s="398"/>
      <c r="B1573" s="955" t="s">
        <v>538</v>
      </c>
      <c r="C1573" s="955"/>
      <c r="D1573" s="955"/>
      <c r="E1573" s="389"/>
      <c r="F1573" s="411" t="s">
        <v>539</v>
      </c>
      <c r="G1573" s="410"/>
      <c r="H1573" s="249">
        <f>ROUND(H1572*F1573,2)</f>
        <v>4.51</v>
      </c>
    </row>
    <row r="1574" spans="1:10">
      <c r="A1574" s="398"/>
      <c r="B1574" s="956" t="s">
        <v>540</v>
      </c>
      <c r="C1574" s="956"/>
      <c r="D1574" s="956"/>
      <c r="E1574" s="740"/>
      <c r="F1574" s="768"/>
      <c r="G1574" s="769"/>
      <c r="H1574" s="770">
        <f>SUM(H1572:H1573)</f>
        <v>22.57</v>
      </c>
    </row>
    <row r="1575" spans="1:10" s="579" customFormat="1">
      <c r="A1575" s="601"/>
      <c r="B1575" s="780"/>
      <c r="C1575" s="780"/>
      <c r="D1575" s="780"/>
      <c r="E1575" s="740"/>
      <c r="F1575" s="768"/>
      <c r="G1575" s="769"/>
      <c r="H1575" s="770"/>
      <c r="I1575" s="400"/>
      <c r="J1575" s="404"/>
    </row>
    <row r="1576" spans="1:10" s="406" customFormat="1" ht="15">
      <c r="A1576" s="403" t="s">
        <v>2415</v>
      </c>
      <c r="B1576" s="961" t="s">
        <v>986</v>
      </c>
      <c r="C1576" s="961"/>
      <c r="D1576" s="961"/>
      <c r="E1576" s="961"/>
      <c r="F1576" s="961"/>
      <c r="G1576" s="402"/>
      <c r="H1576" s="403" t="s">
        <v>14</v>
      </c>
      <c r="I1576" s="407"/>
      <c r="J1576" s="408"/>
    </row>
    <row r="1577" spans="1:10" ht="22.5">
      <c r="A1577" s="398"/>
      <c r="B1577" s="230" t="s">
        <v>987</v>
      </c>
      <c r="C1577" s="231" t="s">
        <v>14</v>
      </c>
      <c r="D1577" s="401">
        <v>1</v>
      </c>
      <c r="E1577" s="959">
        <f>Insumos!C313</f>
        <v>58.804200000000009</v>
      </c>
      <c r="F1577" s="959"/>
      <c r="G1577" s="958">
        <f>ROUND(D1577*E1577,2)</f>
        <v>58.8</v>
      </c>
      <c r="H1577" s="958"/>
    </row>
    <row r="1578" spans="1:10">
      <c r="A1578" s="398"/>
      <c r="B1578" s="230" t="s">
        <v>513</v>
      </c>
      <c r="C1578" s="231" t="s">
        <v>112</v>
      </c>
      <c r="D1578" s="401">
        <v>1</v>
      </c>
      <c r="E1578" s="959">
        <f>Insumos!C314</f>
        <v>12.2759</v>
      </c>
      <c r="F1578" s="959"/>
      <c r="G1578" s="958">
        <f>ROUND(D1578*E1578,2)</f>
        <v>12.28</v>
      </c>
      <c r="H1578" s="958"/>
    </row>
    <row r="1579" spans="1:10">
      <c r="A1579" s="398"/>
      <c r="B1579" s="230" t="s">
        <v>514</v>
      </c>
      <c r="C1579" s="231" t="s">
        <v>112</v>
      </c>
      <c r="D1579" s="401">
        <v>1</v>
      </c>
      <c r="E1579" s="959">
        <f>Insumos!C315</f>
        <v>6.4064000000000005</v>
      </c>
      <c r="F1579" s="959"/>
      <c r="G1579" s="958">
        <f>ROUND(D1579*E1579,2)</f>
        <v>6.41</v>
      </c>
      <c r="H1579" s="958"/>
    </row>
    <row r="1580" spans="1:10">
      <c r="A1580" s="398"/>
      <c r="B1580" s="955" t="s">
        <v>536</v>
      </c>
      <c r="C1580" s="955"/>
      <c r="D1580" s="955"/>
      <c r="E1580" s="389"/>
      <c r="F1580" s="409"/>
      <c r="G1580" s="410"/>
      <c r="H1580" s="249">
        <f>SUM(G1577)</f>
        <v>58.8</v>
      </c>
    </row>
    <row r="1581" spans="1:10">
      <c r="A1581" s="398"/>
      <c r="B1581" s="955" t="s">
        <v>537</v>
      </c>
      <c r="C1581" s="955"/>
      <c r="D1581" s="955"/>
      <c r="E1581" s="389"/>
      <c r="F1581" s="409"/>
      <c r="G1581" s="410"/>
      <c r="H1581" s="249">
        <f>SUM(G1578:H1579)</f>
        <v>18.689999999999998</v>
      </c>
    </row>
    <row r="1582" spans="1:10">
      <c r="A1582" s="398"/>
      <c r="B1582" s="955" t="s">
        <v>1937</v>
      </c>
      <c r="C1582" s="955"/>
      <c r="D1582" s="955"/>
      <c r="E1582" s="389"/>
      <c r="F1582" s="409"/>
      <c r="G1582" s="410"/>
      <c r="H1582" s="249">
        <f>SUM(H1580:H1581)</f>
        <v>77.489999999999995</v>
      </c>
    </row>
    <row r="1583" spans="1:10">
      <c r="A1583" s="398"/>
      <c r="B1583" s="955" t="s">
        <v>538</v>
      </c>
      <c r="C1583" s="955"/>
      <c r="D1583" s="955"/>
      <c r="E1583" s="389"/>
      <c r="F1583" s="411" t="s">
        <v>539</v>
      </c>
      <c r="G1583" s="410"/>
      <c r="H1583" s="249">
        <f>ROUND(H1582*F1583,2)</f>
        <v>19.34</v>
      </c>
    </row>
    <row r="1584" spans="1:10">
      <c r="A1584" s="398"/>
      <c r="B1584" s="956" t="s">
        <v>540</v>
      </c>
      <c r="C1584" s="956"/>
      <c r="D1584" s="956"/>
      <c r="E1584" s="740"/>
      <c r="F1584" s="768"/>
      <c r="G1584" s="769"/>
      <c r="H1584" s="770">
        <f>SUM(H1582:H1583)</f>
        <v>96.83</v>
      </c>
    </row>
    <row r="1585" spans="1:10" s="579" customFormat="1">
      <c r="A1585" s="601"/>
      <c r="B1585" s="780"/>
      <c r="C1585" s="780"/>
      <c r="D1585" s="780"/>
      <c r="E1585" s="740"/>
      <c r="F1585" s="768"/>
      <c r="G1585" s="769"/>
      <c r="H1585" s="770"/>
      <c r="I1585" s="400"/>
      <c r="J1585" s="404"/>
    </row>
    <row r="1586" spans="1:10" s="406" customFormat="1" ht="15">
      <c r="A1586" s="403" t="s">
        <v>2416</v>
      </c>
      <c r="B1586" s="961" t="s">
        <v>988</v>
      </c>
      <c r="C1586" s="961"/>
      <c r="D1586" s="961"/>
      <c r="E1586" s="961"/>
      <c r="F1586" s="961"/>
      <c r="G1586" s="402"/>
      <c r="H1586" s="403" t="s">
        <v>14</v>
      </c>
      <c r="I1586" s="407"/>
      <c r="J1586" s="408"/>
    </row>
    <row r="1587" spans="1:10">
      <c r="A1587" s="398"/>
      <c r="B1587" s="230" t="s">
        <v>989</v>
      </c>
      <c r="C1587" s="231" t="s">
        <v>14</v>
      </c>
      <c r="D1587" s="401">
        <v>1</v>
      </c>
      <c r="E1587" s="959">
        <f>Insumos!C316</f>
        <v>241.70510000000002</v>
      </c>
      <c r="F1587" s="959"/>
      <c r="G1587" s="958">
        <f>ROUND(D1587*E1587,2)</f>
        <v>241.71</v>
      </c>
      <c r="H1587" s="958"/>
    </row>
    <row r="1588" spans="1:10">
      <c r="A1588" s="398"/>
      <c r="B1588" s="230" t="s">
        <v>513</v>
      </c>
      <c r="C1588" s="231" t="s">
        <v>112</v>
      </c>
      <c r="D1588" s="401">
        <v>2</v>
      </c>
      <c r="E1588" s="959">
        <f>Insumos!C317</f>
        <v>12.2759</v>
      </c>
      <c r="F1588" s="959"/>
      <c r="G1588" s="958">
        <f>ROUND(D1588*E1588,2)</f>
        <v>24.55</v>
      </c>
      <c r="H1588" s="958"/>
    </row>
    <row r="1589" spans="1:10">
      <c r="A1589" s="398"/>
      <c r="B1589" s="230" t="s">
        <v>514</v>
      </c>
      <c r="C1589" s="231" t="s">
        <v>112</v>
      </c>
      <c r="D1589" s="401">
        <v>2</v>
      </c>
      <c r="E1589" s="959">
        <f>Insumos!C318</f>
        <v>6.4064000000000005</v>
      </c>
      <c r="F1589" s="959"/>
      <c r="G1589" s="958">
        <f>ROUND(D1589*E1589,2)</f>
        <v>12.81</v>
      </c>
      <c r="H1589" s="958"/>
    </row>
    <row r="1590" spans="1:10">
      <c r="A1590" s="398"/>
      <c r="B1590" s="955" t="s">
        <v>536</v>
      </c>
      <c r="C1590" s="955"/>
      <c r="D1590" s="955"/>
      <c r="E1590" s="389"/>
      <c r="F1590" s="409"/>
      <c r="G1590" s="410"/>
      <c r="H1590" s="249">
        <f>SUM(G1587)</f>
        <v>241.71</v>
      </c>
    </row>
    <row r="1591" spans="1:10">
      <c r="A1591" s="398"/>
      <c r="B1591" s="955" t="s">
        <v>537</v>
      </c>
      <c r="C1591" s="955"/>
      <c r="D1591" s="955"/>
      <c r="E1591" s="389"/>
      <c r="F1591" s="409"/>
      <c r="G1591" s="410"/>
      <c r="H1591" s="249">
        <f>SUM(G1588:H1589)</f>
        <v>37.36</v>
      </c>
    </row>
    <row r="1592" spans="1:10">
      <c r="A1592" s="398"/>
      <c r="B1592" s="955" t="s">
        <v>1937</v>
      </c>
      <c r="C1592" s="955"/>
      <c r="D1592" s="955"/>
      <c r="E1592" s="389"/>
      <c r="F1592" s="409"/>
      <c r="G1592" s="410"/>
      <c r="H1592" s="249">
        <f>SUM(H1590:H1591)</f>
        <v>279.07</v>
      </c>
    </row>
    <row r="1593" spans="1:10">
      <c r="A1593" s="398"/>
      <c r="B1593" s="955" t="s">
        <v>538</v>
      </c>
      <c r="C1593" s="955"/>
      <c r="D1593" s="955"/>
      <c r="E1593" s="389"/>
      <c r="F1593" s="411" t="s">
        <v>539</v>
      </c>
      <c r="G1593" s="410"/>
      <c r="H1593" s="249">
        <f>ROUND(H1592*F1593,2)</f>
        <v>69.66</v>
      </c>
    </row>
    <row r="1594" spans="1:10">
      <c r="A1594" s="398"/>
      <c r="B1594" s="956" t="s">
        <v>540</v>
      </c>
      <c r="C1594" s="956"/>
      <c r="D1594" s="956"/>
      <c r="E1594" s="740"/>
      <c r="F1594" s="768"/>
      <c r="G1594" s="769"/>
      <c r="H1594" s="770">
        <f>SUM(H1592:H1593)</f>
        <v>348.73</v>
      </c>
    </row>
    <row r="1595" spans="1:10" s="579" customFormat="1">
      <c r="A1595" s="601"/>
      <c r="B1595" s="780"/>
      <c r="C1595" s="780"/>
      <c r="D1595" s="780"/>
      <c r="E1595" s="740"/>
      <c r="F1595" s="768"/>
      <c r="G1595" s="769"/>
      <c r="H1595" s="770"/>
      <c r="I1595" s="400"/>
      <c r="J1595" s="404"/>
    </row>
    <row r="1596" spans="1:10" s="406" customFormat="1" ht="15">
      <c r="A1596" s="403" t="s">
        <v>2417</v>
      </c>
      <c r="B1596" s="961" t="s">
        <v>990</v>
      </c>
      <c r="C1596" s="961"/>
      <c r="D1596" s="961"/>
      <c r="E1596" s="961"/>
      <c r="F1596" s="961"/>
      <c r="G1596" s="402"/>
      <c r="H1596" s="403" t="s">
        <v>14</v>
      </c>
      <c r="I1596" s="407"/>
      <c r="J1596" s="408"/>
    </row>
    <row r="1597" spans="1:10">
      <c r="A1597" s="398"/>
      <c r="B1597" s="230" t="s">
        <v>991</v>
      </c>
      <c r="C1597" s="231" t="s">
        <v>14</v>
      </c>
      <c r="D1597" s="401">
        <v>1</v>
      </c>
      <c r="E1597" s="959">
        <f>Insumos!C319</f>
        <v>101.92</v>
      </c>
      <c r="F1597" s="959"/>
      <c r="G1597" s="958">
        <f>ROUND(D1597*E1597,2)</f>
        <v>101.92</v>
      </c>
      <c r="H1597" s="958"/>
    </row>
    <row r="1598" spans="1:10">
      <c r="A1598" s="398"/>
      <c r="B1598" s="230" t="s">
        <v>513</v>
      </c>
      <c r="C1598" s="231" t="s">
        <v>112</v>
      </c>
      <c r="D1598" s="401">
        <v>1</v>
      </c>
      <c r="E1598" s="959">
        <f>Insumos!C320</f>
        <v>12.2759</v>
      </c>
      <c r="F1598" s="959"/>
      <c r="G1598" s="958">
        <f>ROUND(D1598*E1598,2)</f>
        <v>12.28</v>
      </c>
      <c r="H1598" s="958"/>
    </row>
    <row r="1599" spans="1:10">
      <c r="A1599" s="398"/>
      <c r="B1599" s="230" t="s">
        <v>514</v>
      </c>
      <c r="C1599" s="231" t="s">
        <v>112</v>
      </c>
      <c r="D1599" s="401">
        <v>1</v>
      </c>
      <c r="E1599" s="959">
        <f>Insumos!C321</f>
        <v>6.4064000000000005</v>
      </c>
      <c r="F1599" s="959"/>
      <c r="G1599" s="958">
        <f>ROUND(D1599*E1599,2)</f>
        <v>6.41</v>
      </c>
      <c r="H1599" s="958"/>
    </row>
    <row r="1600" spans="1:10">
      <c r="A1600" s="398"/>
      <c r="B1600" s="955" t="s">
        <v>536</v>
      </c>
      <c r="C1600" s="955"/>
      <c r="D1600" s="955"/>
      <c r="E1600" s="389"/>
      <c r="F1600" s="409"/>
      <c r="G1600" s="410"/>
      <c r="H1600" s="249">
        <f>SUM(G1597)</f>
        <v>101.92</v>
      </c>
    </row>
    <row r="1601" spans="1:10">
      <c r="A1601" s="398"/>
      <c r="B1601" s="955" t="s">
        <v>537</v>
      </c>
      <c r="C1601" s="955"/>
      <c r="D1601" s="955"/>
      <c r="E1601" s="389"/>
      <c r="F1601" s="409"/>
      <c r="G1601" s="410"/>
      <c r="H1601" s="249">
        <f>SUM(G1598:H1599)</f>
        <v>18.689999999999998</v>
      </c>
    </row>
    <row r="1602" spans="1:10">
      <c r="A1602" s="398"/>
      <c r="B1602" s="955" t="s">
        <v>1937</v>
      </c>
      <c r="C1602" s="955"/>
      <c r="D1602" s="955"/>
      <c r="E1602" s="389"/>
      <c r="F1602" s="409"/>
      <c r="G1602" s="410"/>
      <c r="H1602" s="249">
        <f>SUM(H1600:H1601)</f>
        <v>120.61</v>
      </c>
    </row>
    <row r="1603" spans="1:10">
      <c r="A1603" s="398"/>
      <c r="B1603" s="955" t="s">
        <v>538</v>
      </c>
      <c r="C1603" s="955"/>
      <c r="D1603" s="955"/>
      <c r="E1603" s="389"/>
      <c r="F1603" s="411" t="s">
        <v>539</v>
      </c>
      <c r="G1603" s="410"/>
      <c r="H1603" s="249">
        <f>ROUND(H1602*F1603,2)</f>
        <v>30.1</v>
      </c>
    </row>
    <row r="1604" spans="1:10">
      <c r="A1604" s="398"/>
      <c r="B1604" s="956" t="s">
        <v>540</v>
      </c>
      <c r="C1604" s="956"/>
      <c r="D1604" s="956"/>
      <c r="E1604" s="740"/>
      <c r="F1604" s="768"/>
      <c r="G1604" s="769"/>
      <c r="H1604" s="770">
        <f>SUM(H1602:H1603)</f>
        <v>150.71</v>
      </c>
    </row>
    <row r="1605" spans="1:10" s="579" customFormat="1">
      <c r="A1605" s="601"/>
      <c r="B1605" s="780"/>
      <c r="C1605" s="780"/>
      <c r="D1605" s="780"/>
      <c r="E1605" s="740"/>
      <c r="F1605" s="768"/>
      <c r="G1605" s="769"/>
      <c r="H1605" s="770"/>
      <c r="I1605" s="400"/>
      <c r="J1605" s="404"/>
    </row>
    <row r="1606" spans="1:10" s="406" customFormat="1" ht="32.1" customHeight="1">
      <c r="A1606" s="403" t="s">
        <v>2418</v>
      </c>
      <c r="B1606" s="961" t="s">
        <v>1571</v>
      </c>
      <c r="C1606" s="961"/>
      <c r="D1606" s="961"/>
      <c r="E1606" s="961"/>
      <c r="F1606" s="961"/>
      <c r="G1606" s="402"/>
      <c r="H1606" s="403" t="s">
        <v>14</v>
      </c>
      <c r="I1606" s="407"/>
      <c r="J1606" s="408"/>
    </row>
    <row r="1607" spans="1:10" ht="22.5">
      <c r="A1607" s="398"/>
      <c r="B1607" s="230" t="s">
        <v>993</v>
      </c>
      <c r="C1607" s="231" t="s">
        <v>14</v>
      </c>
      <c r="D1607" s="436">
        <v>1</v>
      </c>
      <c r="E1607" s="959">
        <f>Insumos!C322</f>
        <v>618.19030000000009</v>
      </c>
      <c r="F1607" s="959"/>
      <c r="G1607" s="958">
        <f>ROUND(D1607*E1607,2)</f>
        <v>618.19000000000005</v>
      </c>
      <c r="H1607" s="958"/>
    </row>
    <row r="1608" spans="1:10">
      <c r="A1608" s="398"/>
      <c r="B1608" s="230" t="s">
        <v>513</v>
      </c>
      <c r="C1608" s="231" t="s">
        <v>112</v>
      </c>
      <c r="D1608" s="436">
        <v>2.0215999999999985</v>
      </c>
      <c r="E1608" s="959">
        <f>Insumos!C323</f>
        <v>12.2759</v>
      </c>
      <c r="F1608" s="959"/>
      <c r="G1608" s="958">
        <f>ROUND(D1608*E1608,2)</f>
        <v>24.82</v>
      </c>
      <c r="H1608" s="958"/>
    </row>
    <row r="1609" spans="1:10">
      <c r="A1609" s="398"/>
      <c r="B1609" s="230" t="s">
        <v>535</v>
      </c>
      <c r="C1609" s="231" t="s">
        <v>112</v>
      </c>
      <c r="D1609" s="436">
        <v>4.7241349347249955</v>
      </c>
      <c r="E1609" s="959">
        <f>Insumos!C324</f>
        <v>6.4064000000000005</v>
      </c>
      <c r="F1609" s="959"/>
      <c r="G1609" s="958">
        <f>ROUND(D1609*E1609,2)</f>
        <v>30.26</v>
      </c>
      <c r="H1609" s="958"/>
    </row>
    <row r="1610" spans="1:10">
      <c r="A1610" s="398"/>
      <c r="B1610" s="955" t="s">
        <v>536</v>
      </c>
      <c r="C1610" s="955"/>
      <c r="D1610" s="955"/>
      <c r="E1610" s="389"/>
      <c r="F1610" s="409"/>
      <c r="G1610" s="410"/>
      <c r="H1610" s="249">
        <f>SUM(G1607)</f>
        <v>618.19000000000005</v>
      </c>
    </row>
    <row r="1611" spans="1:10">
      <c r="A1611" s="398"/>
      <c r="B1611" s="955" t="s">
        <v>537</v>
      </c>
      <c r="C1611" s="955"/>
      <c r="D1611" s="955"/>
      <c r="E1611" s="389"/>
      <c r="F1611" s="409"/>
      <c r="G1611" s="410"/>
      <c r="H1611" s="249">
        <f>SUM(G1608:H1609)</f>
        <v>55.08</v>
      </c>
    </row>
    <row r="1612" spans="1:10">
      <c r="A1612" s="398"/>
      <c r="B1612" s="955" t="s">
        <v>1937</v>
      </c>
      <c r="C1612" s="955"/>
      <c r="D1612" s="955"/>
      <c r="E1612" s="389"/>
      <c r="F1612" s="409"/>
      <c r="G1612" s="410"/>
      <c r="H1612" s="249">
        <f>SUM(H1610:H1611)</f>
        <v>673.2700000000001</v>
      </c>
    </row>
    <row r="1613" spans="1:10">
      <c r="A1613" s="398"/>
      <c r="B1613" s="955" t="s">
        <v>538</v>
      </c>
      <c r="C1613" s="955"/>
      <c r="D1613" s="955"/>
      <c r="E1613" s="389"/>
      <c r="F1613" s="411" t="s">
        <v>539</v>
      </c>
      <c r="G1613" s="410"/>
      <c r="H1613" s="249">
        <f>ROUND(H1612*F1613,2)</f>
        <v>168.05</v>
      </c>
    </row>
    <row r="1614" spans="1:10">
      <c r="A1614" s="398"/>
      <c r="B1614" s="956" t="s">
        <v>540</v>
      </c>
      <c r="C1614" s="956"/>
      <c r="D1614" s="956"/>
      <c r="E1614" s="740"/>
      <c r="F1614" s="768"/>
      <c r="G1614" s="769"/>
      <c r="H1614" s="770">
        <f>SUM(H1612:H1613)</f>
        <v>841.32000000000016</v>
      </c>
    </row>
    <row r="1615" spans="1:10" s="579" customFormat="1">
      <c r="A1615" s="601"/>
      <c r="B1615" s="780"/>
      <c r="C1615" s="780"/>
      <c r="D1615" s="780"/>
      <c r="E1615" s="740"/>
      <c r="F1615" s="768"/>
      <c r="G1615" s="769"/>
      <c r="H1615" s="770"/>
      <c r="I1615" s="400"/>
      <c r="J1615" s="404"/>
    </row>
    <row r="1616" spans="1:10" s="406" customFormat="1" ht="48.6" customHeight="1">
      <c r="A1616" s="403" t="s">
        <v>2419</v>
      </c>
      <c r="B1616" s="961" t="s">
        <v>994</v>
      </c>
      <c r="C1616" s="961"/>
      <c r="D1616" s="961"/>
      <c r="E1616" s="961"/>
      <c r="F1616" s="961"/>
      <c r="G1616" s="402"/>
      <c r="H1616" s="403" t="s">
        <v>14</v>
      </c>
      <c r="I1616" s="407"/>
      <c r="J1616" s="408"/>
    </row>
    <row r="1617" spans="1:10">
      <c r="A1617" s="398"/>
      <c r="B1617" s="230" t="s">
        <v>995</v>
      </c>
      <c r="C1617" s="231" t="s">
        <v>14</v>
      </c>
      <c r="D1617" s="436">
        <v>1</v>
      </c>
      <c r="E1617" s="959">
        <f>Insumos!C325</f>
        <v>863.94489999999996</v>
      </c>
      <c r="F1617" s="959"/>
      <c r="G1617" s="958">
        <f>ROUND(D1617*E1617,2)</f>
        <v>863.94</v>
      </c>
      <c r="H1617" s="958"/>
    </row>
    <row r="1618" spans="1:10">
      <c r="A1618" s="398"/>
      <c r="B1618" s="230" t="s">
        <v>513</v>
      </c>
      <c r="C1618" s="231" t="s">
        <v>112</v>
      </c>
      <c r="D1618" s="436">
        <v>5.9967834494117493</v>
      </c>
      <c r="E1618" s="959">
        <f>Insumos!C326</f>
        <v>12.2759</v>
      </c>
      <c r="F1618" s="959"/>
      <c r="G1618" s="958">
        <f>ROUND(D1618*E1618,2)</f>
        <v>73.62</v>
      </c>
      <c r="H1618" s="958"/>
    </row>
    <row r="1619" spans="1:10">
      <c r="A1619" s="398"/>
      <c r="B1619" s="230" t="s">
        <v>514</v>
      </c>
      <c r="C1619" s="231" t="s">
        <v>112</v>
      </c>
      <c r="D1619" s="436">
        <v>6</v>
      </c>
      <c r="E1619" s="959">
        <f>Insumos!C327</f>
        <v>6.4064000000000005</v>
      </c>
      <c r="F1619" s="959"/>
      <c r="G1619" s="958">
        <f>ROUND(D1619*E1619,2)</f>
        <v>38.44</v>
      </c>
      <c r="H1619" s="958"/>
    </row>
    <row r="1620" spans="1:10">
      <c r="A1620" s="398"/>
      <c r="B1620" s="955" t="s">
        <v>536</v>
      </c>
      <c r="C1620" s="955"/>
      <c r="D1620" s="955"/>
      <c r="E1620" s="389"/>
      <c r="F1620" s="409"/>
      <c r="G1620" s="410"/>
      <c r="H1620" s="249">
        <f>SUM(G1617)</f>
        <v>863.94</v>
      </c>
    </row>
    <row r="1621" spans="1:10">
      <c r="A1621" s="398"/>
      <c r="B1621" s="955" t="s">
        <v>537</v>
      </c>
      <c r="C1621" s="955"/>
      <c r="D1621" s="955"/>
      <c r="E1621" s="389"/>
      <c r="F1621" s="409"/>
      <c r="G1621" s="410"/>
      <c r="H1621" s="249">
        <f>SUM(G1618:H1619)</f>
        <v>112.06</v>
      </c>
    </row>
    <row r="1622" spans="1:10">
      <c r="A1622" s="398"/>
      <c r="B1622" s="955" t="s">
        <v>1937</v>
      </c>
      <c r="C1622" s="955"/>
      <c r="D1622" s="955"/>
      <c r="E1622" s="389"/>
      <c r="F1622" s="409"/>
      <c r="G1622" s="410"/>
      <c r="H1622" s="249">
        <f>SUM(H1620:H1621)</f>
        <v>976</v>
      </c>
    </row>
    <row r="1623" spans="1:10">
      <c r="A1623" s="398"/>
      <c r="B1623" s="955" t="s">
        <v>538</v>
      </c>
      <c r="C1623" s="955"/>
      <c r="D1623" s="955"/>
      <c r="E1623" s="389"/>
      <c r="F1623" s="411" t="s">
        <v>539</v>
      </c>
      <c r="G1623" s="410"/>
      <c r="H1623" s="249">
        <f>ROUND(H1622*F1623,2)</f>
        <v>243.61</v>
      </c>
    </row>
    <row r="1624" spans="1:10">
      <c r="A1624" s="398"/>
      <c r="B1624" s="956" t="s">
        <v>540</v>
      </c>
      <c r="C1624" s="956"/>
      <c r="D1624" s="956"/>
      <c r="E1624" s="740"/>
      <c r="F1624" s="768"/>
      <c r="G1624" s="769"/>
      <c r="H1624" s="770">
        <f>SUM(H1622:H1623)</f>
        <v>1219.6100000000001</v>
      </c>
    </row>
    <row r="1625" spans="1:10" s="579" customFormat="1">
      <c r="A1625" s="601"/>
      <c r="B1625" s="780"/>
      <c r="C1625" s="780"/>
      <c r="D1625" s="780"/>
      <c r="E1625" s="740"/>
      <c r="F1625" s="768"/>
      <c r="G1625" s="769"/>
      <c r="H1625" s="770"/>
      <c r="I1625" s="400"/>
      <c r="J1625" s="404"/>
    </row>
    <row r="1626" spans="1:10" s="406" customFormat="1" ht="15">
      <c r="A1626" s="403" t="s">
        <v>2420</v>
      </c>
      <c r="B1626" s="961" t="s">
        <v>996</v>
      </c>
      <c r="C1626" s="961"/>
      <c r="D1626" s="961"/>
      <c r="E1626" s="961"/>
      <c r="F1626" s="961"/>
      <c r="G1626" s="402"/>
      <c r="H1626" s="403" t="s">
        <v>14</v>
      </c>
      <c r="I1626" s="407"/>
      <c r="J1626" s="408"/>
    </row>
    <row r="1627" spans="1:10">
      <c r="A1627" s="398"/>
      <c r="B1627" s="230" t="s">
        <v>997</v>
      </c>
      <c r="C1627" s="231" t="s">
        <v>14</v>
      </c>
      <c r="D1627" s="401">
        <v>1</v>
      </c>
      <c r="E1627" s="959">
        <f>Insumos!C328</f>
        <v>10.647</v>
      </c>
      <c r="F1627" s="959"/>
      <c r="G1627" s="958">
        <f>ROUND(D1627*E1627,2)</f>
        <v>10.65</v>
      </c>
      <c r="H1627" s="958"/>
    </row>
    <row r="1628" spans="1:10">
      <c r="A1628" s="398"/>
      <c r="B1628" s="230" t="s">
        <v>513</v>
      </c>
      <c r="C1628" s="231" t="s">
        <v>112</v>
      </c>
      <c r="D1628" s="401">
        <v>0.28999999999999998</v>
      </c>
      <c r="E1628" s="959">
        <f>Insumos!C329</f>
        <v>12.2759</v>
      </c>
      <c r="F1628" s="959"/>
      <c r="G1628" s="958">
        <f>ROUND(D1628*E1628,2)</f>
        <v>3.56</v>
      </c>
      <c r="H1628" s="958"/>
    </row>
    <row r="1629" spans="1:10">
      <c r="A1629" s="398"/>
      <c r="B1629" s="230" t="s">
        <v>514</v>
      </c>
      <c r="C1629" s="231" t="s">
        <v>112</v>
      </c>
      <c r="D1629" s="401">
        <v>0.28999999999999998</v>
      </c>
      <c r="E1629" s="959">
        <f>Insumos!C330</f>
        <v>6.4064000000000005</v>
      </c>
      <c r="F1629" s="959"/>
      <c r="G1629" s="958">
        <f>ROUND(D1629*E1629,2)</f>
        <v>1.86</v>
      </c>
      <c r="H1629" s="958"/>
    </row>
    <row r="1630" spans="1:10">
      <c r="A1630" s="398"/>
      <c r="B1630" s="955" t="s">
        <v>536</v>
      </c>
      <c r="C1630" s="955"/>
      <c r="D1630" s="955"/>
      <c r="E1630" s="389"/>
      <c r="F1630" s="409"/>
      <c r="G1630" s="410"/>
      <c r="H1630" s="249">
        <f>SUM(G1627)</f>
        <v>10.65</v>
      </c>
    </row>
    <row r="1631" spans="1:10">
      <c r="A1631" s="398"/>
      <c r="B1631" s="955" t="s">
        <v>537</v>
      </c>
      <c r="C1631" s="955"/>
      <c r="D1631" s="955"/>
      <c r="E1631" s="389"/>
      <c r="F1631" s="409"/>
      <c r="G1631" s="410"/>
      <c r="H1631" s="249">
        <f>SUM(G1628:H1629)</f>
        <v>5.42</v>
      </c>
    </row>
    <row r="1632" spans="1:10">
      <c r="A1632" s="398"/>
      <c r="B1632" s="955" t="s">
        <v>1937</v>
      </c>
      <c r="C1632" s="955"/>
      <c r="D1632" s="955"/>
      <c r="E1632" s="389"/>
      <c r="F1632" s="409"/>
      <c r="G1632" s="410"/>
      <c r="H1632" s="249">
        <f>SUM(H1630:H1631)</f>
        <v>16.07</v>
      </c>
    </row>
    <row r="1633" spans="1:10">
      <c r="A1633" s="398"/>
      <c r="B1633" s="955" t="s">
        <v>538</v>
      </c>
      <c r="C1633" s="955"/>
      <c r="D1633" s="955"/>
      <c r="E1633" s="389"/>
      <c r="F1633" s="411" t="s">
        <v>539</v>
      </c>
      <c r="G1633" s="410"/>
      <c r="H1633" s="249">
        <f>ROUND(H1632*F1633,2)</f>
        <v>4.01</v>
      </c>
    </row>
    <row r="1634" spans="1:10">
      <c r="A1634" s="398"/>
      <c r="B1634" s="956" t="s">
        <v>540</v>
      </c>
      <c r="C1634" s="956"/>
      <c r="D1634" s="956"/>
      <c r="E1634" s="740"/>
      <c r="F1634" s="768"/>
      <c r="G1634" s="769"/>
      <c r="H1634" s="770">
        <f>SUM(H1632:H1633)</f>
        <v>20.079999999999998</v>
      </c>
    </row>
    <row r="1635" spans="1:10" s="406" customFormat="1" ht="15">
      <c r="A1635" s="403" t="s">
        <v>2421</v>
      </c>
      <c r="B1635" s="961" t="s">
        <v>1025</v>
      </c>
      <c r="C1635" s="961"/>
      <c r="D1635" s="961"/>
      <c r="E1635" s="961"/>
      <c r="F1635" s="961"/>
      <c r="H1635" s="403" t="s">
        <v>15</v>
      </c>
      <c r="I1635" s="407"/>
      <c r="J1635" s="408"/>
    </row>
    <row r="1636" spans="1:10" ht="22.5">
      <c r="A1636" s="398"/>
      <c r="B1636" s="230" t="s">
        <v>1026</v>
      </c>
      <c r="C1636" s="231" t="s">
        <v>15</v>
      </c>
      <c r="D1636" s="401">
        <v>1</v>
      </c>
      <c r="E1636" s="959">
        <f>Insumos!C331</f>
        <v>5.5145999999999997</v>
      </c>
      <c r="F1636" s="959"/>
      <c r="G1636" s="958">
        <f>ROUND(D1636*E1636,2)</f>
        <v>5.51</v>
      </c>
      <c r="H1636" s="958"/>
    </row>
    <row r="1637" spans="1:10">
      <c r="A1637" s="398"/>
      <c r="B1637" s="230" t="s">
        <v>513</v>
      </c>
      <c r="C1637" s="231" t="s">
        <v>112</v>
      </c>
      <c r="D1637" s="401">
        <v>0.09</v>
      </c>
      <c r="E1637" s="959">
        <f>Insumos!C332</f>
        <v>12.2759</v>
      </c>
      <c r="F1637" s="959"/>
      <c r="G1637" s="958">
        <f>ROUND(D1637*E1637,2)</f>
        <v>1.1000000000000001</v>
      </c>
      <c r="H1637" s="958"/>
    </row>
    <row r="1638" spans="1:10">
      <c r="A1638" s="398"/>
      <c r="B1638" s="230" t="s">
        <v>535</v>
      </c>
      <c r="C1638" s="231" t="s">
        <v>112</v>
      </c>
      <c r="D1638" s="401">
        <v>0.09</v>
      </c>
      <c r="E1638" s="959">
        <f>Insumos!C333</f>
        <v>6.4064000000000005</v>
      </c>
      <c r="F1638" s="959"/>
      <c r="G1638" s="958">
        <f>ROUND(D1638*E1638,2)</f>
        <v>0.57999999999999996</v>
      </c>
      <c r="H1638" s="958"/>
    </row>
    <row r="1639" spans="1:10">
      <c r="A1639" s="398"/>
      <c r="B1639" s="955" t="s">
        <v>536</v>
      </c>
      <c r="C1639" s="955"/>
      <c r="D1639" s="955"/>
      <c r="E1639" s="389"/>
      <c r="F1639" s="409"/>
      <c r="G1639" s="410"/>
      <c r="H1639" s="249">
        <f>SUM(G1636)</f>
        <v>5.51</v>
      </c>
    </row>
    <row r="1640" spans="1:10">
      <c r="A1640" s="398"/>
      <c r="B1640" s="955" t="s">
        <v>537</v>
      </c>
      <c r="C1640" s="955"/>
      <c r="D1640" s="955"/>
      <c r="E1640" s="389"/>
      <c r="F1640" s="409"/>
      <c r="G1640" s="410"/>
      <c r="H1640" s="249">
        <f>SUM(G1637:H1638)</f>
        <v>1.6800000000000002</v>
      </c>
    </row>
    <row r="1641" spans="1:10">
      <c r="A1641" s="398"/>
      <c r="B1641" s="955" t="s">
        <v>1937</v>
      </c>
      <c r="C1641" s="955"/>
      <c r="D1641" s="955"/>
      <c r="E1641" s="389"/>
      <c r="F1641" s="409"/>
      <c r="G1641" s="410"/>
      <c r="H1641" s="249">
        <f>SUM(H1639:H1640)</f>
        <v>7.1899999999999995</v>
      </c>
    </row>
    <row r="1642" spans="1:10">
      <c r="A1642" s="398"/>
      <c r="B1642" s="955" t="s">
        <v>538</v>
      </c>
      <c r="C1642" s="955"/>
      <c r="D1642" s="955"/>
      <c r="E1642" s="389"/>
      <c r="F1642" s="411" t="s">
        <v>539</v>
      </c>
      <c r="G1642" s="410"/>
      <c r="H1642" s="249">
        <f>ROUND(H1641*F1642,2)</f>
        <v>1.79</v>
      </c>
    </row>
    <row r="1643" spans="1:10">
      <c r="A1643" s="398"/>
      <c r="B1643" s="956" t="s">
        <v>540</v>
      </c>
      <c r="C1643" s="956"/>
      <c r="D1643" s="956"/>
      <c r="E1643" s="740"/>
      <c r="F1643" s="768"/>
      <c r="G1643" s="769"/>
      <c r="H1643" s="770">
        <f>SUM(H1641:H1642)</f>
        <v>8.98</v>
      </c>
    </row>
    <row r="1644" spans="1:10" s="579" customFormat="1">
      <c r="A1644" s="601"/>
      <c r="B1644" s="780"/>
      <c r="C1644" s="780"/>
      <c r="D1644" s="780"/>
      <c r="E1644" s="740"/>
      <c r="F1644" s="768"/>
      <c r="G1644" s="769"/>
      <c r="H1644" s="770"/>
      <c r="I1644" s="400"/>
      <c r="J1644" s="404"/>
    </row>
    <row r="1645" spans="1:10" s="581" customFormat="1" ht="15">
      <c r="A1645" s="602" t="s">
        <v>2422</v>
      </c>
      <c r="B1645" s="961" t="s">
        <v>1025</v>
      </c>
      <c r="C1645" s="961"/>
      <c r="D1645" s="961"/>
      <c r="E1645" s="961"/>
      <c r="F1645" s="961"/>
      <c r="H1645" s="602" t="s">
        <v>15</v>
      </c>
      <c r="I1645" s="603"/>
      <c r="J1645" s="604"/>
    </row>
    <row r="1646" spans="1:10" s="579" customFormat="1" ht="22.5">
      <c r="A1646" s="601"/>
      <c r="B1646" s="595" t="s">
        <v>1026</v>
      </c>
      <c r="C1646" s="596" t="s">
        <v>15</v>
      </c>
      <c r="D1646" s="401">
        <v>1</v>
      </c>
      <c r="E1646" s="959">
        <f>Insumos!C331</f>
        <v>5.5145999999999997</v>
      </c>
      <c r="F1646" s="959"/>
      <c r="G1646" s="958">
        <f>ROUND(D1646*E1646,2)</f>
        <v>5.51</v>
      </c>
      <c r="H1646" s="958"/>
      <c r="I1646" s="400"/>
      <c r="J1646" s="404"/>
    </row>
    <row r="1647" spans="1:10" s="579" customFormat="1">
      <c r="A1647" s="601"/>
      <c r="B1647" s="595" t="s">
        <v>513</v>
      </c>
      <c r="C1647" s="596" t="s">
        <v>112</v>
      </c>
      <c r="D1647" s="401">
        <v>0.09</v>
      </c>
      <c r="E1647" s="959">
        <f>Insumos!C332</f>
        <v>12.2759</v>
      </c>
      <c r="F1647" s="959"/>
      <c r="G1647" s="958">
        <f>ROUND(D1647*E1647,2)</f>
        <v>1.1000000000000001</v>
      </c>
      <c r="H1647" s="958"/>
      <c r="I1647" s="400"/>
      <c r="J1647" s="404"/>
    </row>
    <row r="1648" spans="1:10" s="579" customFormat="1">
      <c r="A1648" s="601"/>
      <c r="B1648" s="595" t="s">
        <v>535</v>
      </c>
      <c r="C1648" s="596" t="s">
        <v>112</v>
      </c>
      <c r="D1648" s="401">
        <v>0.09</v>
      </c>
      <c r="E1648" s="959">
        <f>Insumos!C333</f>
        <v>6.4064000000000005</v>
      </c>
      <c r="F1648" s="959"/>
      <c r="G1648" s="958">
        <f>ROUND(D1648*E1648,2)</f>
        <v>0.57999999999999996</v>
      </c>
      <c r="H1648" s="958"/>
      <c r="I1648" s="400"/>
      <c r="J1648" s="404"/>
    </row>
    <row r="1649" spans="1:10" s="579" customFormat="1">
      <c r="A1649" s="601"/>
      <c r="B1649" s="955" t="s">
        <v>536</v>
      </c>
      <c r="C1649" s="955"/>
      <c r="D1649" s="955"/>
      <c r="E1649" s="737"/>
      <c r="F1649" s="605"/>
      <c r="G1649" s="606"/>
      <c r="H1649" s="597">
        <f>SUM(G1646)</f>
        <v>5.51</v>
      </c>
      <c r="I1649" s="400"/>
      <c r="J1649" s="404"/>
    </row>
    <row r="1650" spans="1:10" s="579" customFormat="1">
      <c r="A1650" s="601"/>
      <c r="B1650" s="955" t="s">
        <v>537</v>
      </c>
      <c r="C1650" s="955"/>
      <c r="D1650" s="955"/>
      <c r="E1650" s="737"/>
      <c r="F1650" s="605"/>
      <c r="G1650" s="606"/>
      <c r="H1650" s="597">
        <f>SUM(G1647:H1648)</f>
        <v>1.6800000000000002</v>
      </c>
      <c r="I1650" s="400"/>
      <c r="J1650" s="404"/>
    </row>
    <row r="1651" spans="1:10" s="579" customFormat="1">
      <c r="A1651" s="601"/>
      <c r="B1651" s="955" t="s">
        <v>1937</v>
      </c>
      <c r="C1651" s="955"/>
      <c r="D1651" s="955"/>
      <c r="E1651" s="737"/>
      <c r="F1651" s="605"/>
      <c r="G1651" s="606"/>
      <c r="H1651" s="597">
        <f>SUM(H1649:H1650)</f>
        <v>7.1899999999999995</v>
      </c>
      <c r="I1651" s="400"/>
      <c r="J1651" s="404"/>
    </row>
    <row r="1652" spans="1:10" s="579" customFormat="1">
      <c r="A1652" s="601"/>
      <c r="B1652" s="955" t="s">
        <v>538</v>
      </c>
      <c r="C1652" s="955"/>
      <c r="D1652" s="955"/>
      <c r="E1652" s="737"/>
      <c r="F1652" s="607" t="s">
        <v>539</v>
      </c>
      <c r="G1652" s="606"/>
      <c r="H1652" s="597">
        <f>ROUND(H1651*F1652,2)</f>
        <v>1.79</v>
      </c>
      <c r="I1652" s="400"/>
      <c r="J1652" s="404"/>
    </row>
    <row r="1653" spans="1:10" s="579" customFormat="1">
      <c r="A1653" s="601"/>
      <c r="B1653" s="956" t="s">
        <v>540</v>
      </c>
      <c r="C1653" s="956"/>
      <c r="D1653" s="956"/>
      <c r="E1653" s="740"/>
      <c r="F1653" s="768"/>
      <c r="G1653" s="769"/>
      <c r="H1653" s="770">
        <f>SUM(H1651:H1652)</f>
        <v>8.98</v>
      </c>
      <c r="I1653" s="400"/>
      <c r="J1653" s="404"/>
    </row>
    <row r="1654" spans="1:10" s="579" customFormat="1">
      <c r="A1654" s="601"/>
      <c r="B1654" s="780"/>
      <c r="C1654" s="780"/>
      <c r="D1654" s="780"/>
      <c r="E1654" s="740"/>
      <c r="F1654" s="768"/>
      <c r="G1654" s="769"/>
      <c r="H1654" s="770"/>
      <c r="I1654" s="400"/>
      <c r="J1654" s="404"/>
    </row>
    <row r="1655" spans="1:10" s="581" customFormat="1" ht="15">
      <c r="A1655" s="602" t="s">
        <v>2423</v>
      </c>
      <c r="B1655" s="961" t="s">
        <v>1025</v>
      </c>
      <c r="C1655" s="961"/>
      <c r="D1655" s="961"/>
      <c r="E1655" s="961"/>
      <c r="F1655" s="961"/>
      <c r="H1655" s="602" t="s">
        <v>15</v>
      </c>
      <c r="I1655" s="603"/>
      <c r="J1655" s="604"/>
    </row>
    <row r="1656" spans="1:10" s="579" customFormat="1" ht="22.5">
      <c r="A1656" s="601"/>
      <c r="B1656" s="595" t="s">
        <v>1026</v>
      </c>
      <c r="C1656" s="596" t="s">
        <v>15</v>
      </c>
      <c r="D1656" s="401">
        <v>1</v>
      </c>
      <c r="E1656" s="959">
        <f>Insumos!C331</f>
        <v>5.5145999999999997</v>
      </c>
      <c r="F1656" s="959"/>
      <c r="G1656" s="958">
        <f>ROUND(D1656*E1656,2)</f>
        <v>5.51</v>
      </c>
      <c r="H1656" s="958"/>
      <c r="I1656" s="400"/>
      <c r="J1656" s="404"/>
    </row>
    <row r="1657" spans="1:10" s="579" customFormat="1">
      <c r="A1657" s="601"/>
      <c r="B1657" s="595" t="s">
        <v>513</v>
      </c>
      <c r="C1657" s="596" t="s">
        <v>112</v>
      </c>
      <c r="D1657" s="401">
        <v>0.09</v>
      </c>
      <c r="E1657" s="959">
        <f>Insumos!C332</f>
        <v>12.2759</v>
      </c>
      <c r="F1657" s="959"/>
      <c r="G1657" s="958">
        <f>ROUND(D1657*E1657,2)</f>
        <v>1.1000000000000001</v>
      </c>
      <c r="H1657" s="958"/>
      <c r="I1657" s="400"/>
      <c r="J1657" s="404"/>
    </row>
    <row r="1658" spans="1:10" s="579" customFormat="1">
      <c r="A1658" s="601"/>
      <c r="B1658" s="595" t="s">
        <v>535</v>
      </c>
      <c r="C1658" s="596" t="s">
        <v>112</v>
      </c>
      <c r="D1658" s="401">
        <v>0.09</v>
      </c>
      <c r="E1658" s="959">
        <f>Insumos!C333</f>
        <v>6.4064000000000005</v>
      </c>
      <c r="F1658" s="959"/>
      <c r="G1658" s="958">
        <f>ROUND(D1658*E1658,2)</f>
        <v>0.57999999999999996</v>
      </c>
      <c r="H1658" s="958"/>
      <c r="I1658" s="400"/>
      <c r="J1658" s="404"/>
    </row>
    <row r="1659" spans="1:10" s="579" customFormat="1">
      <c r="A1659" s="601"/>
      <c r="B1659" s="955" t="s">
        <v>536</v>
      </c>
      <c r="C1659" s="955"/>
      <c r="D1659" s="955"/>
      <c r="E1659" s="737"/>
      <c r="F1659" s="605"/>
      <c r="G1659" s="606"/>
      <c r="H1659" s="597">
        <f>SUM(G1656)</f>
        <v>5.51</v>
      </c>
      <c r="I1659" s="400"/>
      <c r="J1659" s="404"/>
    </row>
    <row r="1660" spans="1:10" s="579" customFormat="1">
      <c r="A1660" s="601"/>
      <c r="B1660" s="955" t="s">
        <v>537</v>
      </c>
      <c r="C1660" s="955"/>
      <c r="D1660" s="955"/>
      <c r="E1660" s="737"/>
      <c r="F1660" s="605"/>
      <c r="G1660" s="606"/>
      <c r="H1660" s="597">
        <f>SUM(G1657:H1658)</f>
        <v>1.6800000000000002</v>
      </c>
      <c r="I1660" s="400"/>
      <c r="J1660" s="404"/>
    </row>
    <row r="1661" spans="1:10" s="579" customFormat="1">
      <c r="A1661" s="601"/>
      <c r="B1661" s="955" t="s">
        <v>1937</v>
      </c>
      <c r="C1661" s="955"/>
      <c r="D1661" s="955"/>
      <c r="E1661" s="737"/>
      <c r="F1661" s="605"/>
      <c r="G1661" s="606"/>
      <c r="H1661" s="597">
        <f>SUM(H1659:H1660)</f>
        <v>7.1899999999999995</v>
      </c>
      <c r="I1661" s="400"/>
      <c r="J1661" s="404"/>
    </row>
    <row r="1662" spans="1:10" s="579" customFormat="1">
      <c r="A1662" s="601"/>
      <c r="B1662" s="955" t="s">
        <v>538</v>
      </c>
      <c r="C1662" s="955"/>
      <c r="D1662" s="955"/>
      <c r="E1662" s="737"/>
      <c r="F1662" s="607" t="s">
        <v>539</v>
      </c>
      <c r="G1662" s="606"/>
      <c r="H1662" s="597">
        <f>ROUND(H1661*F1662,2)</f>
        <v>1.79</v>
      </c>
      <c r="I1662" s="400"/>
      <c r="J1662" s="404"/>
    </row>
    <row r="1663" spans="1:10" s="579" customFormat="1">
      <c r="A1663" s="601"/>
      <c r="B1663" s="956" t="s">
        <v>540</v>
      </c>
      <c r="C1663" s="956"/>
      <c r="D1663" s="956"/>
      <c r="E1663" s="740"/>
      <c r="F1663" s="768"/>
      <c r="G1663" s="769"/>
      <c r="H1663" s="770">
        <f>SUM(H1661:H1662)</f>
        <v>8.98</v>
      </c>
      <c r="I1663" s="400"/>
      <c r="J1663" s="404"/>
    </row>
    <row r="1664" spans="1:10" s="579" customFormat="1">
      <c r="A1664" s="601"/>
      <c r="B1664" s="780"/>
      <c r="C1664" s="780"/>
      <c r="D1664" s="780"/>
      <c r="E1664" s="740"/>
      <c r="F1664" s="768"/>
      <c r="G1664" s="769"/>
      <c r="H1664" s="770"/>
      <c r="I1664" s="400"/>
      <c r="J1664" s="404"/>
    </row>
    <row r="1665" spans="1:10" s="406" customFormat="1" ht="33" customHeight="1">
      <c r="A1665" s="403" t="s">
        <v>2424</v>
      </c>
      <c r="B1665" s="960" t="s">
        <v>1562</v>
      </c>
      <c r="C1665" s="960"/>
      <c r="D1665" s="960"/>
      <c r="E1665" s="960"/>
      <c r="F1665" s="960"/>
      <c r="G1665" s="402"/>
      <c r="H1665" s="403" t="s">
        <v>14</v>
      </c>
      <c r="I1665" s="407"/>
      <c r="J1665" s="408"/>
    </row>
    <row r="1666" spans="1:10">
      <c r="A1666" s="398"/>
      <c r="B1666" s="230" t="s">
        <v>1007</v>
      </c>
      <c r="C1666" s="231" t="s">
        <v>14</v>
      </c>
      <c r="D1666" s="437">
        <v>1</v>
      </c>
      <c r="E1666" s="959">
        <f>Insumos!C334</f>
        <v>68.550300000000007</v>
      </c>
      <c r="F1666" s="959"/>
      <c r="G1666" s="958">
        <f>ROUND(D1666*E1666,2)</f>
        <v>68.55</v>
      </c>
      <c r="H1666" s="958"/>
    </row>
    <row r="1667" spans="1:10">
      <c r="A1667" s="398"/>
      <c r="B1667" s="230" t="s">
        <v>514</v>
      </c>
      <c r="C1667" s="231" t="s">
        <v>112</v>
      </c>
      <c r="D1667" s="437">
        <v>1.6659384766584822</v>
      </c>
      <c r="E1667" s="959">
        <f>Insumos!C335</f>
        <v>6.4064000000000005</v>
      </c>
      <c r="F1667" s="959"/>
      <c r="G1667" s="958">
        <f>ROUND(D1667*E1667,2)</f>
        <v>10.67</v>
      </c>
      <c r="H1667" s="958"/>
    </row>
    <row r="1668" spans="1:10">
      <c r="A1668" s="398"/>
      <c r="B1668" s="230" t="s">
        <v>513</v>
      </c>
      <c r="C1668" s="231" t="s">
        <v>112</v>
      </c>
      <c r="D1668" s="437">
        <v>1.6</v>
      </c>
      <c r="E1668" s="959">
        <f>Insumos!C336</f>
        <v>12.2759</v>
      </c>
      <c r="F1668" s="959"/>
      <c r="G1668" s="958">
        <f>ROUND(D1668*E1668,2)</f>
        <v>19.64</v>
      </c>
      <c r="H1668" s="958"/>
    </row>
    <row r="1669" spans="1:10">
      <c r="A1669" s="398"/>
      <c r="B1669" s="955" t="s">
        <v>536</v>
      </c>
      <c r="C1669" s="955"/>
      <c r="D1669" s="955"/>
      <c r="E1669" s="389"/>
      <c r="F1669" s="409"/>
      <c r="G1669" s="410"/>
      <c r="H1669" s="249">
        <f>SUM(G1666)</f>
        <v>68.55</v>
      </c>
    </row>
    <row r="1670" spans="1:10">
      <c r="A1670" s="398"/>
      <c r="B1670" s="955" t="s">
        <v>537</v>
      </c>
      <c r="C1670" s="955"/>
      <c r="D1670" s="955"/>
      <c r="E1670" s="389"/>
      <c r="F1670" s="409"/>
      <c r="G1670" s="410"/>
      <c r="H1670" s="249">
        <f>SUM(G1667:H1668)</f>
        <v>30.310000000000002</v>
      </c>
    </row>
    <row r="1671" spans="1:10">
      <c r="A1671" s="398"/>
      <c r="B1671" s="955" t="s">
        <v>1937</v>
      </c>
      <c r="C1671" s="955"/>
      <c r="D1671" s="955"/>
      <c r="E1671" s="389"/>
      <c r="F1671" s="409"/>
      <c r="G1671" s="410"/>
      <c r="H1671" s="249">
        <f>SUM(H1669:H1670)</f>
        <v>98.86</v>
      </c>
    </row>
    <row r="1672" spans="1:10">
      <c r="A1672" s="398"/>
      <c r="B1672" s="955" t="s">
        <v>538</v>
      </c>
      <c r="C1672" s="955"/>
      <c r="D1672" s="955"/>
      <c r="E1672" s="389"/>
      <c r="F1672" s="411" t="s">
        <v>539</v>
      </c>
      <c r="G1672" s="410"/>
      <c r="H1672" s="249">
        <f>ROUND(H1671*F1672,2)</f>
        <v>24.68</v>
      </c>
    </row>
    <row r="1673" spans="1:10">
      <c r="A1673" s="398"/>
      <c r="B1673" s="956" t="s">
        <v>540</v>
      </c>
      <c r="C1673" s="956"/>
      <c r="D1673" s="956"/>
      <c r="E1673" s="740"/>
      <c r="F1673" s="768"/>
      <c r="G1673" s="769"/>
      <c r="H1673" s="770">
        <f>SUM(H1671:H1672)</f>
        <v>123.53999999999999</v>
      </c>
    </row>
    <row r="1674" spans="1:10" s="579" customFormat="1">
      <c r="A1674" s="601"/>
      <c r="B1674" s="780"/>
      <c r="C1674" s="780"/>
      <c r="D1674" s="780"/>
      <c r="E1674" s="740"/>
      <c r="F1674" s="768"/>
      <c r="G1674" s="769"/>
      <c r="H1674" s="770"/>
      <c r="I1674" s="400"/>
      <c r="J1674" s="404"/>
    </row>
    <row r="1675" spans="1:10" s="406" customFormat="1" ht="15">
      <c r="A1675" s="403" t="s">
        <v>2425</v>
      </c>
      <c r="B1675" s="961" t="s">
        <v>1266</v>
      </c>
      <c r="C1675" s="961"/>
      <c r="D1675" s="961"/>
      <c r="E1675" s="961"/>
      <c r="F1675" s="961"/>
      <c r="G1675" s="402"/>
      <c r="H1675" s="403" t="s">
        <v>14</v>
      </c>
      <c r="I1675" s="407"/>
      <c r="J1675" s="408"/>
    </row>
    <row r="1676" spans="1:10">
      <c r="A1676" s="398"/>
      <c r="B1676" s="230" t="s">
        <v>1267</v>
      </c>
      <c r="C1676" s="231" t="s">
        <v>14</v>
      </c>
      <c r="D1676" s="436">
        <v>1</v>
      </c>
      <c r="E1676" s="959">
        <f>Insumos!C337</f>
        <v>4.9776999999999996</v>
      </c>
      <c r="F1676" s="959"/>
      <c r="G1676" s="958">
        <f>ROUND(D1676*E1676,2)</f>
        <v>4.9800000000000004</v>
      </c>
      <c r="H1676" s="958"/>
    </row>
    <row r="1677" spans="1:10">
      <c r="A1677" s="398"/>
      <c r="B1677" s="230" t="s">
        <v>514</v>
      </c>
      <c r="C1677" s="231" t="s">
        <v>112</v>
      </c>
      <c r="D1677" s="436">
        <v>0.29699999999999999</v>
      </c>
      <c r="E1677" s="959">
        <f>Insumos!C338</f>
        <v>6.4064000000000005</v>
      </c>
      <c r="F1677" s="959"/>
      <c r="G1677" s="958">
        <f>ROUND(D1677*E1677,2)</f>
        <v>1.9</v>
      </c>
      <c r="H1677" s="958"/>
    </row>
    <row r="1678" spans="1:10">
      <c r="A1678" s="398"/>
      <c r="B1678" s="230" t="s">
        <v>513</v>
      </c>
      <c r="C1678" s="231" t="s">
        <v>112</v>
      </c>
      <c r="D1678" s="436">
        <v>0.3</v>
      </c>
      <c r="E1678" s="959">
        <f>Insumos!C339</f>
        <v>12.2759</v>
      </c>
      <c r="F1678" s="959"/>
      <c r="G1678" s="958">
        <f>ROUND(D1678*E1678,2)</f>
        <v>3.68</v>
      </c>
      <c r="H1678" s="958"/>
    </row>
    <row r="1679" spans="1:10">
      <c r="A1679" s="398"/>
      <c r="B1679" s="955" t="s">
        <v>536</v>
      </c>
      <c r="C1679" s="955"/>
      <c r="D1679" s="955"/>
      <c r="E1679" s="389"/>
      <c r="F1679" s="409"/>
      <c r="G1679" s="410"/>
      <c r="H1679" s="249">
        <f>SUM(G1676)</f>
        <v>4.9800000000000004</v>
      </c>
    </row>
    <row r="1680" spans="1:10">
      <c r="A1680" s="398"/>
      <c r="B1680" s="955" t="s">
        <v>537</v>
      </c>
      <c r="C1680" s="955"/>
      <c r="D1680" s="955"/>
      <c r="E1680" s="389"/>
      <c r="F1680" s="409"/>
      <c r="G1680" s="410"/>
      <c r="H1680" s="249">
        <f>SUM(G1677:H1678)</f>
        <v>5.58</v>
      </c>
    </row>
    <row r="1681" spans="1:10">
      <c r="A1681" s="398"/>
      <c r="B1681" s="955" t="s">
        <v>1937</v>
      </c>
      <c r="C1681" s="955"/>
      <c r="D1681" s="955"/>
      <c r="E1681" s="389"/>
      <c r="F1681" s="409"/>
      <c r="G1681" s="410"/>
      <c r="H1681" s="249">
        <f>SUM(H1679:H1680)</f>
        <v>10.56</v>
      </c>
    </row>
    <row r="1682" spans="1:10">
      <c r="A1682" s="398"/>
      <c r="B1682" s="955" t="s">
        <v>538</v>
      </c>
      <c r="C1682" s="955"/>
      <c r="D1682" s="955"/>
      <c r="E1682" s="389"/>
      <c r="F1682" s="411" t="s">
        <v>539</v>
      </c>
      <c r="G1682" s="410"/>
      <c r="H1682" s="249">
        <f>ROUND(H1681*F1682,2)</f>
        <v>2.64</v>
      </c>
    </row>
    <row r="1683" spans="1:10">
      <c r="A1683" s="398"/>
      <c r="B1683" s="956" t="s">
        <v>540</v>
      </c>
      <c r="C1683" s="956"/>
      <c r="D1683" s="956"/>
      <c r="E1683" s="740"/>
      <c r="F1683" s="768"/>
      <c r="G1683" s="769"/>
      <c r="H1683" s="770">
        <f>SUM(H1681:H1682)</f>
        <v>13.200000000000001</v>
      </c>
    </row>
    <row r="1684" spans="1:10" s="579" customFormat="1">
      <c r="A1684" s="601"/>
      <c r="B1684" s="780"/>
      <c r="C1684" s="780"/>
      <c r="D1684" s="780"/>
      <c r="E1684" s="740"/>
      <c r="F1684" s="768"/>
      <c r="G1684" s="769"/>
      <c r="H1684" s="770"/>
      <c r="I1684" s="400"/>
      <c r="J1684" s="404"/>
    </row>
    <row r="1685" spans="1:10" s="406" customFormat="1" ht="32.1" customHeight="1">
      <c r="A1685" s="403" t="s">
        <v>1742</v>
      </c>
      <c r="B1685" s="961" t="s">
        <v>1269</v>
      </c>
      <c r="C1685" s="961"/>
      <c r="D1685" s="961"/>
      <c r="E1685" s="961"/>
      <c r="F1685" s="961"/>
      <c r="G1685" s="402"/>
      <c r="H1685" s="403" t="s">
        <v>14</v>
      </c>
      <c r="I1685" s="407"/>
      <c r="J1685" s="408"/>
    </row>
    <row r="1686" spans="1:10">
      <c r="A1686" s="398"/>
      <c r="B1686" s="230" t="s">
        <v>1270</v>
      </c>
      <c r="C1686" s="231" t="s">
        <v>14</v>
      </c>
      <c r="D1686" s="401">
        <v>1.1000000000000001</v>
      </c>
      <c r="E1686" s="959">
        <f>Insumos!C340</f>
        <v>2.9666000000000001</v>
      </c>
      <c r="F1686" s="959"/>
      <c r="G1686" s="958">
        <f>ROUND(D1686*E1686,2)</f>
        <v>3.26</v>
      </c>
      <c r="H1686" s="958"/>
    </row>
    <row r="1687" spans="1:10">
      <c r="A1687" s="398"/>
      <c r="B1687" s="230" t="s">
        <v>1271</v>
      </c>
      <c r="C1687" s="231" t="s">
        <v>14</v>
      </c>
      <c r="D1687" s="401">
        <v>1</v>
      </c>
      <c r="E1687" s="959">
        <f>Insumos!C341</f>
        <v>1.3923000000000001</v>
      </c>
      <c r="F1687" s="959"/>
      <c r="G1687" s="958">
        <f>ROUND(D1687*E1687,2)</f>
        <v>1.39</v>
      </c>
      <c r="H1687" s="958"/>
    </row>
    <row r="1688" spans="1:10">
      <c r="A1688" s="398"/>
      <c r="B1688" s="230" t="s">
        <v>514</v>
      </c>
      <c r="C1688" s="231" t="s">
        <v>112</v>
      </c>
      <c r="D1688" s="401">
        <v>0.3</v>
      </c>
      <c r="E1688" s="959">
        <f>Insumos!C342</f>
        <v>6.4064000000000005</v>
      </c>
      <c r="F1688" s="959"/>
      <c r="G1688" s="958">
        <f>ROUND(D1688*E1688,2)</f>
        <v>1.92</v>
      </c>
      <c r="H1688" s="958"/>
    </row>
    <row r="1689" spans="1:10">
      <c r="A1689" s="398"/>
      <c r="B1689" s="230" t="s">
        <v>513</v>
      </c>
      <c r="C1689" s="231" t="s">
        <v>112</v>
      </c>
      <c r="D1689" s="401">
        <v>0.3</v>
      </c>
      <c r="E1689" s="959">
        <f>Insumos!C343</f>
        <v>12.2759</v>
      </c>
      <c r="F1689" s="959"/>
      <c r="G1689" s="958">
        <f>ROUND(D1689*E1689,2)</f>
        <v>3.68</v>
      </c>
      <c r="H1689" s="958"/>
    </row>
    <row r="1690" spans="1:10">
      <c r="A1690" s="398"/>
      <c r="B1690" s="955" t="s">
        <v>536</v>
      </c>
      <c r="C1690" s="955"/>
      <c r="D1690" s="955"/>
      <c r="E1690" s="389"/>
      <c r="F1690" s="409"/>
      <c r="G1690" s="410"/>
      <c r="H1690" s="249">
        <f>SUM(G1686:H1687)</f>
        <v>4.6499999999999995</v>
      </c>
    </row>
    <row r="1691" spans="1:10">
      <c r="A1691" s="398"/>
      <c r="B1691" s="955" t="s">
        <v>537</v>
      </c>
      <c r="C1691" s="955"/>
      <c r="D1691" s="955"/>
      <c r="E1691" s="389"/>
      <c r="F1691" s="409"/>
      <c r="G1691" s="410"/>
      <c r="H1691" s="249">
        <f>SUM(G1688:H1689)</f>
        <v>5.6</v>
      </c>
    </row>
    <row r="1692" spans="1:10">
      <c r="A1692" s="398"/>
      <c r="B1692" s="955" t="s">
        <v>1937</v>
      </c>
      <c r="C1692" s="955"/>
      <c r="D1692" s="955"/>
      <c r="E1692" s="389"/>
      <c r="F1692" s="409"/>
      <c r="G1692" s="410"/>
      <c r="H1692" s="249">
        <f>SUM(H1690:H1691)</f>
        <v>10.25</v>
      </c>
    </row>
    <row r="1693" spans="1:10">
      <c r="A1693" s="398"/>
      <c r="B1693" s="955" t="s">
        <v>538</v>
      </c>
      <c r="C1693" s="955"/>
      <c r="D1693" s="955"/>
      <c r="E1693" s="389"/>
      <c r="F1693" s="411" t="s">
        <v>539</v>
      </c>
      <c r="G1693" s="410"/>
      <c r="H1693" s="249">
        <f>ROUND(H1692*F1693,2)</f>
        <v>2.56</v>
      </c>
    </row>
    <row r="1694" spans="1:10">
      <c r="A1694" s="398"/>
      <c r="B1694" s="956" t="s">
        <v>540</v>
      </c>
      <c r="C1694" s="956"/>
      <c r="D1694" s="956"/>
      <c r="E1694" s="740"/>
      <c r="F1694" s="768"/>
      <c r="G1694" s="769"/>
      <c r="H1694" s="770">
        <f>SUM(H1692:H1693)</f>
        <v>12.81</v>
      </c>
    </row>
    <row r="1695" spans="1:10" s="579" customFormat="1">
      <c r="A1695" s="601"/>
      <c r="B1695" s="780"/>
      <c r="C1695" s="780"/>
      <c r="D1695" s="780"/>
      <c r="E1695" s="740"/>
      <c r="F1695" s="768"/>
      <c r="G1695" s="769"/>
      <c r="H1695" s="770"/>
      <c r="I1695" s="400"/>
      <c r="J1695" s="404"/>
    </row>
    <row r="1696" spans="1:10" s="406" customFormat="1" ht="32.1" customHeight="1">
      <c r="A1696" s="403" t="s">
        <v>1741</v>
      </c>
      <c r="B1696" s="961" t="s">
        <v>1273</v>
      </c>
      <c r="C1696" s="961"/>
      <c r="D1696" s="961"/>
      <c r="E1696" s="961"/>
      <c r="F1696" s="961"/>
      <c r="G1696" s="402"/>
      <c r="H1696" s="403" t="s">
        <v>14</v>
      </c>
      <c r="I1696" s="407"/>
      <c r="J1696" s="408"/>
    </row>
    <row r="1697" spans="1:10">
      <c r="A1697" s="398"/>
      <c r="B1697" s="230" t="s">
        <v>1274</v>
      </c>
      <c r="C1697" s="231" t="s">
        <v>14</v>
      </c>
      <c r="D1697" s="401">
        <v>1.1000000000000001</v>
      </c>
      <c r="E1697" s="959">
        <f>Insumos!C344</f>
        <v>7.0706999999999995</v>
      </c>
      <c r="F1697" s="959"/>
      <c r="G1697" s="958">
        <f>ROUND(D1697*E1697,2)</f>
        <v>7.78</v>
      </c>
      <c r="H1697" s="958"/>
    </row>
    <row r="1698" spans="1:10">
      <c r="A1698" s="398"/>
      <c r="B1698" s="230" t="s">
        <v>1275</v>
      </c>
      <c r="C1698" s="231" t="s">
        <v>14</v>
      </c>
      <c r="D1698" s="401">
        <v>1</v>
      </c>
      <c r="E1698" s="959">
        <f>Insumos!C345</f>
        <v>4.7320000000000002</v>
      </c>
      <c r="F1698" s="959"/>
      <c r="G1698" s="958">
        <f>ROUND(D1698*E1698,2)</f>
        <v>4.7300000000000004</v>
      </c>
      <c r="H1698" s="958"/>
    </row>
    <row r="1699" spans="1:10">
      <c r="A1699" s="398"/>
      <c r="B1699" s="230" t="s">
        <v>514</v>
      </c>
      <c r="C1699" s="231" t="s">
        <v>112</v>
      </c>
      <c r="D1699" s="401">
        <v>0.45</v>
      </c>
      <c r="E1699" s="959">
        <f>Insumos!C346</f>
        <v>6.4064000000000005</v>
      </c>
      <c r="F1699" s="959"/>
      <c r="G1699" s="958">
        <f>ROUND(D1699*E1699,2)</f>
        <v>2.88</v>
      </c>
      <c r="H1699" s="958"/>
    </row>
    <row r="1700" spans="1:10">
      <c r="A1700" s="398"/>
      <c r="B1700" s="230" t="s">
        <v>513</v>
      </c>
      <c r="C1700" s="231" t="s">
        <v>112</v>
      </c>
      <c r="D1700" s="401">
        <v>0.45</v>
      </c>
      <c r="E1700" s="959">
        <f>Insumos!C347</f>
        <v>12.2759</v>
      </c>
      <c r="F1700" s="959"/>
      <c r="G1700" s="958">
        <f>ROUND(D1700*E1700,2)</f>
        <v>5.52</v>
      </c>
      <c r="H1700" s="958"/>
    </row>
    <row r="1701" spans="1:10">
      <c r="A1701" s="398"/>
      <c r="B1701" s="955" t="s">
        <v>536</v>
      </c>
      <c r="C1701" s="955"/>
      <c r="D1701" s="955"/>
      <c r="E1701" s="389"/>
      <c r="F1701" s="409"/>
      <c r="G1701" s="410"/>
      <c r="H1701" s="249">
        <f>SUM(G1697:H1698)</f>
        <v>12.510000000000002</v>
      </c>
    </row>
    <row r="1702" spans="1:10">
      <c r="A1702" s="398"/>
      <c r="B1702" s="955" t="s">
        <v>537</v>
      </c>
      <c r="C1702" s="955"/>
      <c r="D1702" s="955"/>
      <c r="E1702" s="389"/>
      <c r="F1702" s="409"/>
      <c r="G1702" s="410"/>
      <c r="H1702" s="249">
        <f>SUM(G1699:H1700)</f>
        <v>8.3999999999999986</v>
      </c>
    </row>
    <row r="1703" spans="1:10">
      <c r="A1703" s="398"/>
      <c r="B1703" s="955" t="s">
        <v>1937</v>
      </c>
      <c r="C1703" s="955"/>
      <c r="D1703" s="955"/>
      <c r="E1703" s="389"/>
      <c r="F1703" s="409"/>
      <c r="G1703" s="410"/>
      <c r="H1703" s="249">
        <f>SUM(H1701:H1702)</f>
        <v>20.91</v>
      </c>
    </row>
    <row r="1704" spans="1:10">
      <c r="A1704" s="398"/>
      <c r="B1704" s="955" t="s">
        <v>538</v>
      </c>
      <c r="C1704" s="955"/>
      <c r="D1704" s="955"/>
      <c r="E1704" s="389"/>
      <c r="F1704" s="411" t="s">
        <v>539</v>
      </c>
      <c r="G1704" s="410"/>
      <c r="H1704" s="249">
        <f>ROUND(H1703*F1704,2)</f>
        <v>5.22</v>
      </c>
    </row>
    <row r="1705" spans="1:10">
      <c r="A1705" s="398"/>
      <c r="B1705" s="956" t="s">
        <v>540</v>
      </c>
      <c r="C1705" s="956"/>
      <c r="D1705" s="956"/>
      <c r="E1705" s="740"/>
      <c r="F1705" s="768"/>
      <c r="G1705" s="769"/>
      <c r="H1705" s="770">
        <f>SUM(H1703:H1704)</f>
        <v>26.13</v>
      </c>
    </row>
    <row r="1706" spans="1:10" s="579" customFormat="1">
      <c r="A1706" s="601"/>
      <c r="B1706" s="780"/>
      <c r="C1706" s="780"/>
      <c r="D1706" s="780"/>
      <c r="E1706" s="740"/>
      <c r="F1706" s="768"/>
      <c r="G1706" s="769"/>
      <c r="H1706" s="770"/>
      <c r="I1706" s="400"/>
      <c r="J1706" s="404"/>
    </row>
    <row r="1707" spans="1:10" s="406" customFormat="1" ht="24.6" customHeight="1">
      <c r="A1707" s="403" t="s">
        <v>1995</v>
      </c>
      <c r="B1707" s="961" t="s">
        <v>1277</v>
      </c>
      <c r="C1707" s="961"/>
      <c r="D1707" s="961"/>
      <c r="E1707" s="961"/>
      <c r="F1707" s="961"/>
      <c r="G1707" s="402"/>
      <c r="H1707" s="403" t="s">
        <v>14</v>
      </c>
      <c r="I1707" s="407"/>
      <c r="J1707" s="408"/>
    </row>
    <row r="1708" spans="1:10">
      <c r="A1708" s="398"/>
      <c r="B1708" s="230" t="s">
        <v>1278</v>
      </c>
      <c r="C1708" s="231" t="s">
        <v>14</v>
      </c>
      <c r="D1708" s="401">
        <v>1</v>
      </c>
      <c r="E1708" s="959">
        <f>Insumos!C348</f>
        <v>77.413699999999992</v>
      </c>
      <c r="F1708" s="959"/>
      <c r="G1708" s="958">
        <f>ROUND(D1708*E1708,2)</f>
        <v>77.41</v>
      </c>
      <c r="H1708" s="958"/>
    </row>
    <row r="1709" spans="1:10">
      <c r="A1709" s="398"/>
      <c r="B1709" s="230" t="s">
        <v>514</v>
      </c>
      <c r="C1709" s="231" t="s">
        <v>112</v>
      </c>
      <c r="D1709" s="401">
        <v>0.45</v>
      </c>
      <c r="E1709" s="959">
        <f>Insumos!C349</f>
        <v>6.4064000000000005</v>
      </c>
      <c r="F1709" s="959"/>
      <c r="G1709" s="958">
        <f>ROUND(D1709*E1709,2)</f>
        <v>2.88</v>
      </c>
      <c r="H1709" s="958"/>
    </row>
    <row r="1710" spans="1:10">
      <c r="A1710" s="398"/>
      <c r="B1710" s="230" t="s">
        <v>513</v>
      </c>
      <c r="C1710" s="231" t="s">
        <v>112</v>
      </c>
      <c r="D1710" s="401">
        <v>0.45</v>
      </c>
      <c r="E1710" s="959">
        <f>Insumos!C350</f>
        <v>12.2759</v>
      </c>
      <c r="F1710" s="959"/>
      <c r="G1710" s="958">
        <f>ROUND(D1710*E1710,2)</f>
        <v>5.52</v>
      </c>
      <c r="H1710" s="958"/>
    </row>
    <row r="1711" spans="1:10">
      <c r="A1711" s="398"/>
      <c r="B1711" s="955" t="s">
        <v>536</v>
      </c>
      <c r="C1711" s="955"/>
      <c r="D1711" s="955"/>
      <c r="E1711" s="389"/>
      <c r="F1711" s="409"/>
      <c r="G1711" s="410"/>
      <c r="H1711" s="249">
        <f>SUM(G1708:H1708)</f>
        <v>77.41</v>
      </c>
    </row>
    <row r="1712" spans="1:10">
      <c r="A1712" s="398"/>
      <c r="B1712" s="955" t="s">
        <v>537</v>
      </c>
      <c r="C1712" s="955"/>
      <c r="D1712" s="955"/>
      <c r="E1712" s="389"/>
      <c r="F1712" s="409"/>
      <c r="G1712" s="410"/>
      <c r="H1712" s="249">
        <f>SUM(G1709:H1710)</f>
        <v>8.3999999999999986</v>
      </c>
    </row>
    <row r="1713" spans="1:10">
      <c r="A1713" s="398"/>
      <c r="B1713" s="955" t="s">
        <v>1937</v>
      </c>
      <c r="C1713" s="955"/>
      <c r="D1713" s="955"/>
      <c r="E1713" s="389"/>
      <c r="F1713" s="409"/>
      <c r="G1713" s="410"/>
      <c r="H1713" s="249">
        <f>SUM(H1711:H1712)</f>
        <v>85.81</v>
      </c>
    </row>
    <row r="1714" spans="1:10">
      <c r="A1714" s="398"/>
      <c r="B1714" s="955" t="s">
        <v>538</v>
      </c>
      <c r="C1714" s="955"/>
      <c r="D1714" s="955"/>
      <c r="E1714" s="389"/>
      <c r="F1714" s="411" t="s">
        <v>539</v>
      </c>
      <c r="G1714" s="410"/>
      <c r="H1714" s="249">
        <f>ROUND(H1713*F1714,2)</f>
        <v>21.42</v>
      </c>
    </row>
    <row r="1715" spans="1:10">
      <c r="A1715" s="398"/>
      <c r="B1715" s="956" t="s">
        <v>540</v>
      </c>
      <c r="C1715" s="956"/>
      <c r="D1715" s="956"/>
      <c r="E1715" s="740"/>
      <c r="F1715" s="768"/>
      <c r="G1715" s="769"/>
      <c r="H1715" s="770">
        <f>SUM(H1713:H1714)</f>
        <v>107.23</v>
      </c>
    </row>
    <row r="1716" spans="1:10" s="579" customFormat="1">
      <c r="A1716" s="601"/>
      <c r="B1716" s="780"/>
      <c r="C1716" s="780"/>
      <c r="D1716" s="780"/>
      <c r="E1716" s="740"/>
      <c r="F1716" s="768"/>
      <c r="G1716" s="769"/>
      <c r="H1716" s="770"/>
      <c r="I1716" s="400"/>
      <c r="J1716" s="404"/>
    </row>
    <row r="1717" spans="1:10" s="406" customFormat="1" ht="32.1" customHeight="1">
      <c r="A1717" s="403" t="s">
        <v>1996</v>
      </c>
      <c r="B1717" s="960" t="s">
        <v>1563</v>
      </c>
      <c r="C1717" s="960"/>
      <c r="D1717" s="960"/>
      <c r="E1717" s="960"/>
      <c r="F1717" s="960"/>
      <c r="G1717" s="446"/>
      <c r="H1717" s="444" t="s">
        <v>14</v>
      </c>
      <c r="I1717" s="407"/>
      <c r="J1717" s="408"/>
    </row>
    <row r="1718" spans="1:10">
      <c r="A1718" s="398"/>
      <c r="B1718" s="230" t="s">
        <v>513</v>
      </c>
      <c r="C1718" s="231" t="s">
        <v>112</v>
      </c>
      <c r="D1718" s="401">
        <v>2.5</v>
      </c>
      <c r="E1718" s="959">
        <f>E1710</f>
        <v>12.2759</v>
      </c>
      <c r="F1718" s="959"/>
      <c r="G1718" s="958">
        <f>ROUND(E1718*D1718,2)</f>
        <v>30.69</v>
      </c>
      <c r="H1718" s="958"/>
    </row>
    <row r="1719" spans="1:10">
      <c r="A1719" s="398"/>
      <c r="B1719" s="230" t="s">
        <v>1938</v>
      </c>
      <c r="C1719" s="231" t="s">
        <v>14</v>
      </c>
      <c r="D1719" s="401">
        <v>1</v>
      </c>
      <c r="E1719" s="232"/>
      <c r="F1719" s="325">
        <v>356.74</v>
      </c>
      <c r="G1719" s="958">
        <f>ROUND(F1719*D1719,2)</f>
        <v>356.74</v>
      </c>
      <c r="H1719" s="958"/>
      <c r="J1719" s="433"/>
    </row>
    <row r="1720" spans="1:10">
      <c r="A1720" s="398"/>
      <c r="B1720" s="230" t="s">
        <v>1939</v>
      </c>
      <c r="C1720" s="231" t="s">
        <v>112</v>
      </c>
      <c r="D1720" s="401">
        <v>2.4970588235294064</v>
      </c>
      <c r="E1720" s="232"/>
      <c r="F1720" s="325">
        <f>Insumos!C260</f>
        <v>6.4064000000000005</v>
      </c>
      <c r="G1720" s="958">
        <f>ROUND(F1720*D1720,2)</f>
        <v>16</v>
      </c>
      <c r="H1720" s="958"/>
    </row>
    <row r="1721" spans="1:10">
      <c r="A1721" s="398"/>
      <c r="B1721" s="955" t="s">
        <v>536</v>
      </c>
      <c r="C1721" s="955"/>
      <c r="D1721" s="955"/>
      <c r="E1721" s="389"/>
      <c r="F1721" s="409"/>
      <c r="G1721" s="410"/>
      <c r="H1721" s="249">
        <f>G1719</f>
        <v>356.74</v>
      </c>
    </row>
    <row r="1722" spans="1:10">
      <c r="A1722" s="398"/>
      <c r="B1722" s="955" t="s">
        <v>537</v>
      </c>
      <c r="C1722" s="955"/>
      <c r="D1722" s="955"/>
      <c r="E1722" s="389"/>
      <c r="F1722" s="409"/>
      <c r="G1722" s="410"/>
      <c r="H1722" s="249">
        <f>G1720+G1718</f>
        <v>46.69</v>
      </c>
    </row>
    <row r="1723" spans="1:10">
      <c r="A1723" s="398"/>
      <c r="B1723" s="955" t="s">
        <v>1937</v>
      </c>
      <c r="C1723" s="955"/>
      <c r="D1723" s="955"/>
      <c r="E1723" s="389"/>
      <c r="F1723" s="409"/>
      <c r="G1723" s="410"/>
      <c r="H1723" s="249">
        <f>SUM(H1721:H1722)</f>
        <v>403.43</v>
      </c>
    </row>
    <row r="1724" spans="1:10">
      <c r="A1724" s="398"/>
      <c r="B1724" s="955" t="s">
        <v>538</v>
      </c>
      <c r="C1724" s="955"/>
      <c r="D1724" s="955"/>
      <c r="E1724" s="389"/>
      <c r="F1724" s="411" t="s">
        <v>539</v>
      </c>
      <c r="G1724" s="410"/>
      <c r="H1724" s="249">
        <f>H1723*0.2496</f>
        <v>100.696128</v>
      </c>
    </row>
    <row r="1725" spans="1:10">
      <c r="A1725" s="398"/>
      <c r="B1725" s="956" t="s">
        <v>540</v>
      </c>
      <c r="C1725" s="956"/>
      <c r="D1725" s="956"/>
      <c r="E1725" s="740"/>
      <c r="F1725" s="768"/>
      <c r="G1725" s="769"/>
      <c r="H1725" s="770">
        <f>SUM(H1723:H1724)</f>
        <v>504.12612799999999</v>
      </c>
    </row>
    <row r="1726" spans="1:10" s="579" customFormat="1">
      <c r="A1726" s="601"/>
      <c r="B1726" s="780"/>
      <c r="C1726" s="780"/>
      <c r="D1726" s="780"/>
      <c r="E1726" s="740"/>
      <c r="F1726" s="768"/>
      <c r="G1726" s="769"/>
      <c r="H1726" s="770"/>
      <c r="I1726" s="400"/>
      <c r="J1726" s="404"/>
    </row>
    <row r="1727" spans="1:10" s="406" customFormat="1" ht="15">
      <c r="A1727" s="403" t="s">
        <v>1997</v>
      </c>
      <c r="B1727" s="961" t="s">
        <v>1287</v>
      </c>
      <c r="C1727" s="961"/>
      <c r="D1727" s="961"/>
      <c r="E1727" s="961"/>
      <c r="F1727" s="961"/>
      <c r="G1727" s="402"/>
      <c r="H1727" s="403" t="s">
        <v>14</v>
      </c>
      <c r="I1727" s="407"/>
      <c r="J1727" s="408"/>
    </row>
    <row r="1728" spans="1:10">
      <c r="A1728" s="398"/>
      <c r="B1728" s="230" t="s">
        <v>1288</v>
      </c>
      <c r="C1728" s="231" t="s">
        <v>14</v>
      </c>
      <c r="D1728" s="401">
        <v>1</v>
      </c>
      <c r="E1728" s="959">
        <f>Insumos!C358</f>
        <v>21.2667</v>
      </c>
      <c r="F1728" s="959"/>
      <c r="G1728" s="958">
        <f>ROUND(D1728*E1728,2)</f>
        <v>21.27</v>
      </c>
      <c r="H1728" s="958"/>
    </row>
    <row r="1729" spans="1:10">
      <c r="A1729" s="398"/>
      <c r="B1729" s="230" t="s">
        <v>514</v>
      </c>
      <c r="C1729" s="231" t="s">
        <v>112</v>
      </c>
      <c r="D1729" s="401">
        <v>1.2</v>
      </c>
      <c r="E1729" s="959">
        <f>Insumos!C359</f>
        <v>6.4064000000000005</v>
      </c>
      <c r="F1729" s="959"/>
      <c r="G1729" s="958">
        <f>ROUND(D1729*E1729,2)</f>
        <v>7.69</v>
      </c>
      <c r="H1729" s="958"/>
    </row>
    <row r="1730" spans="1:10">
      <c r="A1730" s="398"/>
      <c r="B1730" s="230" t="s">
        <v>513</v>
      </c>
      <c r="C1730" s="231" t="s">
        <v>112</v>
      </c>
      <c r="D1730" s="401">
        <v>1.2</v>
      </c>
      <c r="E1730" s="959">
        <f>Insumos!C360</f>
        <v>12.2759</v>
      </c>
      <c r="F1730" s="959"/>
      <c r="G1730" s="958">
        <f>ROUND(D1730*E1730,2)</f>
        <v>14.73</v>
      </c>
      <c r="H1730" s="958"/>
    </row>
    <row r="1731" spans="1:10">
      <c r="A1731" s="398"/>
      <c r="B1731" s="955" t="s">
        <v>536</v>
      </c>
      <c r="C1731" s="955"/>
      <c r="D1731" s="955"/>
      <c r="E1731" s="389"/>
      <c r="F1731" s="409"/>
      <c r="G1731" s="410"/>
      <c r="H1731" s="249">
        <f>SUM(G1728:H1728)</f>
        <v>21.27</v>
      </c>
    </row>
    <row r="1732" spans="1:10">
      <c r="A1732" s="398"/>
      <c r="B1732" s="955" t="s">
        <v>537</v>
      </c>
      <c r="C1732" s="955"/>
      <c r="D1732" s="955"/>
      <c r="E1732" s="389"/>
      <c r="F1732" s="409"/>
      <c r="G1732" s="410"/>
      <c r="H1732" s="249">
        <f>SUM(G1729:H1730)</f>
        <v>22.42</v>
      </c>
    </row>
    <row r="1733" spans="1:10">
      <c r="A1733" s="398"/>
      <c r="B1733" s="955" t="s">
        <v>1937</v>
      </c>
      <c r="C1733" s="955"/>
      <c r="D1733" s="955"/>
      <c r="E1733" s="389"/>
      <c r="F1733" s="409"/>
      <c r="G1733" s="410"/>
      <c r="H1733" s="249">
        <f>SUM(H1731:H1732)</f>
        <v>43.69</v>
      </c>
    </row>
    <row r="1734" spans="1:10">
      <c r="A1734" s="398"/>
      <c r="B1734" s="955" t="s">
        <v>538</v>
      </c>
      <c r="C1734" s="955"/>
      <c r="D1734" s="955"/>
      <c r="E1734" s="389"/>
      <c r="F1734" s="411" t="s">
        <v>539</v>
      </c>
      <c r="G1734" s="410"/>
      <c r="H1734" s="249">
        <f>ROUND(H1733*F1734,2)</f>
        <v>10.91</v>
      </c>
    </row>
    <row r="1735" spans="1:10">
      <c r="A1735" s="398"/>
      <c r="B1735" s="956" t="s">
        <v>540</v>
      </c>
      <c r="C1735" s="956"/>
      <c r="D1735" s="956"/>
      <c r="E1735" s="740"/>
      <c r="F1735" s="768"/>
      <c r="G1735" s="769"/>
      <c r="H1735" s="770">
        <f>SUM(H1733:H1734)</f>
        <v>54.599999999999994</v>
      </c>
    </row>
    <row r="1736" spans="1:10" s="579" customFormat="1">
      <c r="A1736" s="601"/>
      <c r="B1736" s="780"/>
      <c r="C1736" s="780"/>
      <c r="D1736" s="780"/>
      <c r="E1736" s="740"/>
      <c r="F1736" s="768"/>
      <c r="G1736" s="769"/>
      <c r="H1736" s="770"/>
      <c r="I1736" s="400"/>
      <c r="J1736" s="404"/>
    </row>
    <row r="1737" spans="1:10" s="354" customFormat="1">
      <c r="A1737" s="785" t="s">
        <v>5</v>
      </c>
      <c r="B1737" s="962" t="s">
        <v>428</v>
      </c>
      <c r="C1737" s="962"/>
      <c r="D1737" s="962"/>
      <c r="E1737" s="962"/>
      <c r="F1737" s="962"/>
      <c r="G1737" s="788"/>
      <c r="H1737" s="789"/>
      <c r="I1737" s="326"/>
      <c r="J1737" s="353"/>
    </row>
    <row r="1738" spans="1:10" s="406" customFormat="1" ht="15">
      <c r="A1738" s="403" t="s">
        <v>2431</v>
      </c>
      <c r="B1738" s="961" t="s">
        <v>948</v>
      </c>
      <c r="C1738" s="961"/>
      <c r="D1738" s="961"/>
      <c r="E1738" s="961"/>
      <c r="F1738" s="961"/>
      <c r="H1738" s="403" t="s">
        <v>16</v>
      </c>
      <c r="I1738" s="407"/>
      <c r="J1738" s="408"/>
    </row>
    <row r="1739" spans="1:10">
      <c r="A1739" s="398"/>
      <c r="B1739" s="230" t="s">
        <v>949</v>
      </c>
      <c r="C1739" s="231" t="s">
        <v>16</v>
      </c>
      <c r="D1739" s="401">
        <v>1</v>
      </c>
      <c r="E1739" s="959">
        <f>Insumos!C361</f>
        <v>10.01</v>
      </c>
      <c r="F1739" s="959"/>
      <c r="G1739" s="958">
        <f>ROUND(D1739*E1739,2)</f>
        <v>10.01</v>
      </c>
      <c r="H1739" s="958"/>
    </row>
    <row r="1740" spans="1:10">
      <c r="A1740" s="398"/>
      <c r="B1740" s="230" t="s">
        <v>513</v>
      </c>
      <c r="C1740" s="231" t="s">
        <v>112</v>
      </c>
      <c r="D1740" s="401">
        <v>0.90669999999999995</v>
      </c>
      <c r="E1740" s="959">
        <f>Insumos!C362</f>
        <v>12.2759</v>
      </c>
      <c r="F1740" s="959"/>
      <c r="G1740" s="958">
        <f>ROUND(D1740*E1740,2)</f>
        <v>11.13</v>
      </c>
      <c r="H1740" s="958"/>
    </row>
    <row r="1741" spans="1:10">
      <c r="A1741" s="398"/>
      <c r="B1741" s="230" t="s">
        <v>514</v>
      </c>
      <c r="C1741" s="231" t="s">
        <v>112</v>
      </c>
      <c r="D1741" s="401">
        <v>0.90669999999999995</v>
      </c>
      <c r="E1741" s="959">
        <f>Insumos!C363</f>
        <v>6.4064000000000005</v>
      </c>
      <c r="F1741" s="959"/>
      <c r="G1741" s="958">
        <f>ROUND(D1741*E1741,2)</f>
        <v>5.81</v>
      </c>
      <c r="H1741" s="958"/>
    </row>
    <row r="1742" spans="1:10">
      <c r="A1742" s="398"/>
      <c r="B1742" s="955" t="s">
        <v>536</v>
      </c>
      <c r="C1742" s="955"/>
      <c r="D1742" s="955"/>
      <c r="E1742" s="389"/>
      <c r="F1742" s="409"/>
      <c r="G1742" s="410"/>
      <c r="H1742" s="249">
        <f>SUM(G1739)</f>
        <v>10.01</v>
      </c>
    </row>
    <row r="1743" spans="1:10">
      <c r="A1743" s="398"/>
      <c r="B1743" s="955" t="s">
        <v>537</v>
      </c>
      <c r="C1743" s="955"/>
      <c r="D1743" s="955"/>
      <c r="E1743" s="389"/>
      <c r="F1743" s="409"/>
      <c r="G1743" s="410"/>
      <c r="H1743" s="249">
        <f>SUM(G1740:H1741)</f>
        <v>16.940000000000001</v>
      </c>
    </row>
    <row r="1744" spans="1:10">
      <c r="A1744" s="398"/>
      <c r="B1744" s="955" t="s">
        <v>1937</v>
      </c>
      <c r="C1744" s="955"/>
      <c r="D1744" s="955"/>
      <c r="E1744" s="389"/>
      <c r="F1744" s="409"/>
      <c r="G1744" s="410"/>
      <c r="H1744" s="249">
        <f>SUM(H1742:H1743)</f>
        <v>26.950000000000003</v>
      </c>
    </row>
    <row r="1745" spans="1:10">
      <c r="A1745" s="398"/>
      <c r="B1745" s="955" t="s">
        <v>538</v>
      </c>
      <c r="C1745" s="955"/>
      <c r="D1745" s="955"/>
      <c r="E1745" s="389"/>
      <c r="F1745" s="411" t="s">
        <v>539</v>
      </c>
      <c r="G1745" s="410"/>
      <c r="H1745" s="249">
        <f>ROUND(H1744*F1745,2)</f>
        <v>6.73</v>
      </c>
    </row>
    <row r="1746" spans="1:10">
      <c r="A1746" s="398"/>
      <c r="B1746" s="956" t="s">
        <v>540</v>
      </c>
      <c r="C1746" s="956"/>
      <c r="D1746" s="956"/>
      <c r="E1746" s="740"/>
      <c r="F1746" s="768"/>
      <c r="G1746" s="769"/>
      <c r="H1746" s="770">
        <f>SUM(H1744:H1745)</f>
        <v>33.680000000000007</v>
      </c>
    </row>
    <row r="1747" spans="1:10" s="579" customFormat="1">
      <c r="A1747" s="601"/>
      <c r="B1747" s="780"/>
      <c r="C1747" s="780"/>
      <c r="D1747" s="780"/>
      <c r="E1747" s="740"/>
      <c r="F1747" s="768"/>
      <c r="G1747" s="769"/>
      <c r="H1747" s="770"/>
      <c r="I1747" s="400"/>
      <c r="J1747" s="404"/>
    </row>
    <row r="1748" spans="1:10" s="406" customFormat="1" ht="15">
      <c r="A1748" s="403" t="s">
        <v>2432</v>
      </c>
      <c r="B1748" s="961" t="s">
        <v>998</v>
      </c>
      <c r="C1748" s="961"/>
      <c r="D1748" s="961"/>
      <c r="E1748" s="961"/>
      <c r="F1748" s="961"/>
      <c r="H1748" s="403" t="s">
        <v>14</v>
      </c>
      <c r="I1748" s="407"/>
      <c r="J1748" s="408"/>
    </row>
    <row r="1749" spans="1:10">
      <c r="A1749" s="398"/>
      <c r="B1749" s="230" t="s">
        <v>998</v>
      </c>
      <c r="C1749" s="231" t="s">
        <v>14</v>
      </c>
      <c r="D1749" s="401">
        <v>1</v>
      </c>
      <c r="E1749" s="959">
        <f>Insumos!C364</f>
        <v>13.65</v>
      </c>
      <c r="F1749" s="959"/>
      <c r="G1749" s="958">
        <f>ROUND(D1749*E1749,2)</f>
        <v>13.65</v>
      </c>
      <c r="H1749" s="958"/>
    </row>
    <row r="1750" spans="1:10">
      <c r="A1750" s="398"/>
      <c r="B1750" s="230" t="s">
        <v>513</v>
      </c>
      <c r="C1750" s="231" t="s">
        <v>112</v>
      </c>
      <c r="D1750" s="401">
        <v>0.5</v>
      </c>
      <c r="E1750" s="959">
        <f>Insumos!C365</f>
        <v>12.2759</v>
      </c>
      <c r="F1750" s="959"/>
      <c r="G1750" s="958">
        <f>ROUND(D1750*E1750,2)</f>
        <v>6.14</v>
      </c>
      <c r="H1750" s="958"/>
    </row>
    <row r="1751" spans="1:10">
      <c r="A1751" s="398"/>
      <c r="B1751" s="230" t="s">
        <v>514</v>
      </c>
      <c r="C1751" s="231" t="s">
        <v>112</v>
      </c>
      <c r="D1751" s="401">
        <v>0.5</v>
      </c>
      <c r="E1751" s="959">
        <f>Insumos!C366</f>
        <v>6.4064000000000005</v>
      </c>
      <c r="F1751" s="959"/>
      <c r="G1751" s="958">
        <f>ROUND(D1751*E1751,2)</f>
        <v>3.2</v>
      </c>
      <c r="H1751" s="958"/>
    </row>
    <row r="1752" spans="1:10">
      <c r="A1752" s="398"/>
      <c r="B1752" s="955" t="s">
        <v>536</v>
      </c>
      <c r="C1752" s="955"/>
      <c r="D1752" s="955"/>
      <c r="E1752" s="389"/>
      <c r="F1752" s="409"/>
      <c r="G1752" s="410"/>
      <c r="H1752" s="249">
        <f>SUM(G1749)</f>
        <v>13.65</v>
      </c>
    </row>
    <row r="1753" spans="1:10">
      <c r="A1753" s="398"/>
      <c r="B1753" s="955" t="s">
        <v>537</v>
      </c>
      <c r="C1753" s="955"/>
      <c r="D1753" s="955"/>
      <c r="E1753" s="389"/>
      <c r="F1753" s="409"/>
      <c r="G1753" s="410"/>
      <c r="H1753" s="249">
        <f>SUM(G1750:H1751)</f>
        <v>9.34</v>
      </c>
    </row>
    <row r="1754" spans="1:10">
      <c r="A1754" s="398"/>
      <c r="B1754" s="955" t="s">
        <v>1937</v>
      </c>
      <c r="C1754" s="955"/>
      <c r="D1754" s="955"/>
      <c r="E1754" s="389"/>
      <c r="F1754" s="409"/>
      <c r="G1754" s="410"/>
      <c r="H1754" s="249">
        <f>SUM(H1752:H1753)</f>
        <v>22.990000000000002</v>
      </c>
    </row>
    <row r="1755" spans="1:10">
      <c r="A1755" s="398"/>
      <c r="B1755" s="955" t="s">
        <v>538</v>
      </c>
      <c r="C1755" s="955"/>
      <c r="D1755" s="955"/>
      <c r="E1755" s="389"/>
      <c r="F1755" s="411" t="s">
        <v>539</v>
      </c>
      <c r="G1755" s="410"/>
      <c r="H1755" s="249">
        <f>ROUND(H1754*F1755,2)</f>
        <v>5.74</v>
      </c>
    </row>
    <row r="1756" spans="1:10">
      <c r="A1756" s="398"/>
      <c r="B1756" s="956" t="s">
        <v>540</v>
      </c>
      <c r="C1756" s="956"/>
      <c r="D1756" s="956"/>
      <c r="E1756" s="740"/>
      <c r="F1756" s="768"/>
      <c r="G1756" s="769"/>
      <c r="H1756" s="770">
        <f>SUM(H1754:H1755)</f>
        <v>28.730000000000004</v>
      </c>
    </row>
    <row r="1757" spans="1:10" s="579" customFormat="1">
      <c r="A1757" s="601"/>
      <c r="B1757" s="780"/>
      <c r="C1757" s="780"/>
      <c r="D1757" s="780"/>
      <c r="E1757" s="740"/>
      <c r="F1757" s="768"/>
      <c r="G1757" s="769"/>
      <c r="H1757" s="770"/>
      <c r="I1757" s="400"/>
      <c r="J1757" s="404"/>
    </row>
    <row r="1758" spans="1:10" s="406" customFormat="1" ht="15">
      <c r="A1758" s="403" t="s">
        <v>2433</v>
      </c>
      <c r="B1758" s="961" t="s">
        <v>999</v>
      </c>
      <c r="C1758" s="961"/>
      <c r="D1758" s="961"/>
      <c r="E1758" s="961"/>
      <c r="F1758" s="961"/>
      <c r="G1758" s="402"/>
      <c r="H1758" s="403" t="s">
        <v>14</v>
      </c>
      <c r="I1758" s="407"/>
      <c r="J1758" s="408"/>
    </row>
    <row r="1759" spans="1:10">
      <c r="A1759" s="398"/>
      <c r="B1759" s="230" t="s">
        <v>1000</v>
      </c>
      <c r="C1759" s="231" t="s">
        <v>14</v>
      </c>
      <c r="D1759" s="401">
        <v>1</v>
      </c>
      <c r="E1759" s="959">
        <f>Insumos!C367</f>
        <v>0.14560000000000001</v>
      </c>
      <c r="F1759" s="959"/>
      <c r="G1759" s="958">
        <f>ROUND(D1759*E1759,2)</f>
        <v>0.15</v>
      </c>
      <c r="H1759" s="958"/>
    </row>
    <row r="1760" spans="1:10">
      <c r="A1760" s="398"/>
      <c r="B1760" s="230" t="s">
        <v>514</v>
      </c>
      <c r="C1760" s="231" t="s">
        <v>112</v>
      </c>
      <c r="D1760" s="401">
        <v>0.01</v>
      </c>
      <c r="E1760" s="959">
        <f>Insumos!C368</f>
        <v>6.4064000000000005</v>
      </c>
      <c r="F1760" s="959"/>
      <c r="G1760" s="958">
        <f>ROUND(D1760*E1760,2)</f>
        <v>0.06</v>
      </c>
      <c r="H1760" s="958"/>
    </row>
    <row r="1761" spans="1:10">
      <c r="A1761" s="398"/>
      <c r="B1761" s="230" t="s">
        <v>513</v>
      </c>
      <c r="C1761" s="231" t="s">
        <v>112</v>
      </c>
      <c r="D1761" s="401">
        <v>0.01</v>
      </c>
      <c r="E1761" s="959">
        <f>Insumos!C369</f>
        <v>12.2759</v>
      </c>
      <c r="F1761" s="959"/>
      <c r="G1761" s="958">
        <f>ROUND(D1761*E1761,2)</f>
        <v>0.12</v>
      </c>
      <c r="H1761" s="958"/>
    </row>
    <row r="1762" spans="1:10">
      <c r="A1762" s="398"/>
      <c r="B1762" s="955" t="s">
        <v>536</v>
      </c>
      <c r="C1762" s="955"/>
      <c r="D1762" s="955"/>
      <c r="E1762" s="389"/>
      <c r="F1762" s="409"/>
      <c r="G1762" s="410"/>
      <c r="H1762" s="249">
        <f>SUM(G1759)</f>
        <v>0.15</v>
      </c>
    </row>
    <row r="1763" spans="1:10">
      <c r="A1763" s="398"/>
      <c r="B1763" s="955" t="s">
        <v>537</v>
      </c>
      <c r="C1763" s="955"/>
      <c r="D1763" s="955"/>
      <c r="E1763" s="389"/>
      <c r="F1763" s="409"/>
      <c r="G1763" s="410"/>
      <c r="H1763" s="249">
        <f>SUM(G1760:H1761)</f>
        <v>0.18</v>
      </c>
    </row>
    <row r="1764" spans="1:10">
      <c r="A1764" s="398"/>
      <c r="B1764" s="955" t="s">
        <v>1937</v>
      </c>
      <c r="C1764" s="955"/>
      <c r="D1764" s="955"/>
      <c r="E1764" s="389"/>
      <c r="F1764" s="409"/>
      <c r="G1764" s="410"/>
      <c r="H1764" s="249">
        <f>SUM(H1762:H1763)</f>
        <v>0.32999999999999996</v>
      </c>
    </row>
    <row r="1765" spans="1:10">
      <c r="A1765" s="398"/>
      <c r="B1765" s="955" t="s">
        <v>538</v>
      </c>
      <c r="C1765" s="955"/>
      <c r="D1765" s="955"/>
      <c r="E1765" s="389"/>
      <c r="F1765" s="411" t="s">
        <v>539</v>
      </c>
      <c r="G1765" s="410"/>
      <c r="H1765" s="249">
        <f>ROUND(H1764*F1765,2)</f>
        <v>0.08</v>
      </c>
    </row>
    <row r="1766" spans="1:10">
      <c r="A1766" s="398"/>
      <c r="B1766" s="956" t="s">
        <v>540</v>
      </c>
      <c r="C1766" s="956"/>
      <c r="D1766" s="956"/>
      <c r="E1766" s="740"/>
      <c r="F1766" s="768"/>
      <c r="G1766" s="769"/>
      <c r="H1766" s="770">
        <f>SUM(H1764:H1765)</f>
        <v>0.41</v>
      </c>
    </row>
    <row r="1767" spans="1:10" s="579" customFormat="1">
      <c r="A1767" s="601"/>
      <c r="B1767" s="780"/>
      <c r="C1767" s="780"/>
      <c r="D1767" s="780"/>
      <c r="E1767" s="740"/>
      <c r="F1767" s="768"/>
      <c r="G1767" s="769"/>
      <c r="H1767" s="770"/>
      <c r="I1767" s="400"/>
      <c r="J1767" s="404"/>
    </row>
    <row r="1768" spans="1:10" s="406" customFormat="1" ht="22.5" customHeight="1">
      <c r="A1768" s="403" t="s">
        <v>2434</v>
      </c>
      <c r="B1768" s="961" t="s">
        <v>1001</v>
      </c>
      <c r="C1768" s="961"/>
      <c r="D1768" s="961"/>
      <c r="E1768" s="961"/>
      <c r="F1768" s="961"/>
      <c r="H1768" s="403" t="s">
        <v>15</v>
      </c>
      <c r="I1768" s="407"/>
      <c r="J1768" s="408"/>
    </row>
    <row r="1769" spans="1:10">
      <c r="A1769" s="398"/>
      <c r="B1769" s="230" t="s">
        <v>1002</v>
      </c>
      <c r="C1769" s="231" t="s">
        <v>15</v>
      </c>
      <c r="D1769" s="401">
        <v>1</v>
      </c>
      <c r="E1769" s="959">
        <f>Insumos!C370</f>
        <v>4.2496999999999998</v>
      </c>
      <c r="F1769" s="959"/>
      <c r="G1769" s="958">
        <f>ROUND(D1769*E1769,2)</f>
        <v>4.25</v>
      </c>
      <c r="H1769" s="958"/>
    </row>
    <row r="1770" spans="1:10">
      <c r="A1770" s="398"/>
      <c r="B1770" s="230" t="s">
        <v>513</v>
      </c>
      <c r="C1770" s="231" t="s">
        <v>112</v>
      </c>
      <c r="D1770" s="401">
        <v>0.08</v>
      </c>
      <c r="E1770" s="959">
        <f>Insumos!C371</f>
        <v>12.2759</v>
      </c>
      <c r="F1770" s="959"/>
      <c r="G1770" s="958">
        <f>ROUND(D1770*E1770,2)</f>
        <v>0.98</v>
      </c>
      <c r="H1770" s="958"/>
    </row>
    <row r="1771" spans="1:10">
      <c r="A1771" s="398"/>
      <c r="B1771" s="230" t="s">
        <v>535</v>
      </c>
      <c r="C1771" s="231" t="s">
        <v>112</v>
      </c>
      <c r="D1771" s="401">
        <v>0.08</v>
      </c>
      <c r="E1771" s="959">
        <f>Insumos!C372</f>
        <v>6.4064000000000005</v>
      </c>
      <c r="F1771" s="959"/>
      <c r="G1771" s="958">
        <f>ROUND(D1771*E1771,2)</f>
        <v>0.51</v>
      </c>
      <c r="H1771" s="958"/>
    </row>
    <row r="1772" spans="1:10">
      <c r="A1772" s="398"/>
      <c r="B1772" s="955" t="s">
        <v>536</v>
      </c>
      <c r="C1772" s="955"/>
      <c r="D1772" s="955"/>
      <c r="E1772" s="389"/>
      <c r="F1772" s="409"/>
      <c r="G1772" s="410"/>
      <c r="H1772" s="249">
        <f>SUM(G1769)</f>
        <v>4.25</v>
      </c>
    </row>
    <row r="1773" spans="1:10">
      <c r="A1773" s="398"/>
      <c r="B1773" s="955" t="s">
        <v>537</v>
      </c>
      <c r="C1773" s="955"/>
      <c r="D1773" s="955"/>
      <c r="E1773" s="389"/>
      <c r="F1773" s="409"/>
      <c r="G1773" s="410"/>
      <c r="H1773" s="249">
        <f>SUM(G1770:H1771)</f>
        <v>1.49</v>
      </c>
    </row>
    <row r="1774" spans="1:10">
      <c r="A1774" s="398"/>
      <c r="B1774" s="955" t="s">
        <v>1937</v>
      </c>
      <c r="C1774" s="955"/>
      <c r="D1774" s="955"/>
      <c r="E1774" s="389"/>
      <c r="F1774" s="409"/>
      <c r="G1774" s="410"/>
      <c r="H1774" s="249">
        <f>SUM(H1772:H1773)</f>
        <v>5.74</v>
      </c>
    </row>
    <row r="1775" spans="1:10">
      <c r="A1775" s="398"/>
      <c r="B1775" s="955" t="s">
        <v>538</v>
      </c>
      <c r="C1775" s="955"/>
      <c r="D1775" s="955"/>
      <c r="E1775" s="389"/>
      <c r="F1775" s="411" t="s">
        <v>539</v>
      </c>
      <c r="G1775" s="410"/>
      <c r="H1775" s="249">
        <f>ROUND(H1774*F1775,2)</f>
        <v>1.43</v>
      </c>
    </row>
    <row r="1776" spans="1:10">
      <c r="A1776" s="398"/>
      <c r="B1776" s="956" t="s">
        <v>540</v>
      </c>
      <c r="C1776" s="956"/>
      <c r="D1776" s="956"/>
      <c r="E1776" s="740"/>
      <c r="F1776" s="768"/>
      <c r="G1776" s="769"/>
      <c r="H1776" s="770">
        <f>SUM(H1774:H1775)</f>
        <v>7.17</v>
      </c>
    </row>
    <row r="1777" spans="1:10" s="579" customFormat="1">
      <c r="A1777" s="601"/>
      <c r="B1777" s="780"/>
      <c r="C1777" s="780"/>
      <c r="D1777" s="780"/>
      <c r="E1777" s="740"/>
      <c r="F1777" s="768"/>
      <c r="G1777" s="769"/>
      <c r="H1777" s="770"/>
      <c r="I1777" s="400"/>
      <c r="J1777" s="404"/>
    </row>
    <row r="1778" spans="1:10" s="406" customFormat="1" ht="32.1" customHeight="1">
      <c r="A1778" s="403" t="s">
        <v>2435</v>
      </c>
      <c r="B1778" s="961" t="s">
        <v>1003</v>
      </c>
      <c r="C1778" s="961"/>
      <c r="D1778" s="961"/>
      <c r="E1778" s="961"/>
      <c r="F1778" s="961"/>
      <c r="H1778" s="403" t="s">
        <v>15</v>
      </c>
      <c r="I1778" s="407"/>
      <c r="J1778" s="408"/>
    </row>
    <row r="1779" spans="1:10">
      <c r="A1779" s="398"/>
      <c r="B1779" s="230" t="s">
        <v>1004</v>
      </c>
      <c r="C1779" s="231" t="s">
        <v>15</v>
      </c>
      <c r="D1779" s="436">
        <v>1</v>
      </c>
      <c r="E1779" s="959">
        <f>Insumos!C373</f>
        <v>4.7774999999999999</v>
      </c>
      <c r="F1779" s="959"/>
      <c r="G1779" s="958">
        <f>ROUND(D1779*E1779,2)</f>
        <v>4.78</v>
      </c>
      <c r="H1779" s="958"/>
    </row>
    <row r="1780" spans="1:10">
      <c r="A1780" s="398"/>
      <c r="B1780" s="230" t="s">
        <v>513</v>
      </c>
      <c r="C1780" s="231" t="s">
        <v>112</v>
      </c>
      <c r="D1780" s="436">
        <v>0.155</v>
      </c>
      <c r="E1780" s="959">
        <f>Insumos!C374</f>
        <v>12.2759</v>
      </c>
      <c r="F1780" s="959"/>
      <c r="G1780" s="958">
        <f>ROUND(D1780*E1780,2)</f>
        <v>1.9</v>
      </c>
      <c r="H1780" s="958"/>
    </row>
    <row r="1781" spans="1:10">
      <c r="A1781" s="398"/>
      <c r="B1781" s="230" t="s">
        <v>514</v>
      </c>
      <c r="C1781" s="231" t="s">
        <v>112</v>
      </c>
      <c r="D1781" s="436">
        <v>0.15345</v>
      </c>
      <c r="E1781" s="959">
        <f>Insumos!C375</f>
        <v>6.4064000000000005</v>
      </c>
      <c r="F1781" s="959"/>
      <c r="G1781" s="958">
        <f>ROUND(D1781*E1781,2)</f>
        <v>0.98</v>
      </c>
      <c r="H1781" s="958"/>
    </row>
    <row r="1782" spans="1:10">
      <c r="A1782" s="398"/>
      <c r="B1782" s="955" t="s">
        <v>536</v>
      </c>
      <c r="C1782" s="955"/>
      <c r="D1782" s="955"/>
      <c r="E1782" s="389"/>
      <c r="F1782" s="409"/>
      <c r="G1782" s="410"/>
      <c r="H1782" s="249">
        <f>SUM(G1779)</f>
        <v>4.78</v>
      </c>
    </row>
    <row r="1783" spans="1:10">
      <c r="A1783" s="398"/>
      <c r="B1783" s="955" t="s">
        <v>537</v>
      </c>
      <c r="C1783" s="955"/>
      <c r="D1783" s="955"/>
      <c r="E1783" s="389"/>
      <c r="F1783" s="409"/>
      <c r="G1783" s="410"/>
      <c r="H1783" s="249">
        <f>SUM(G1780:H1781)</f>
        <v>2.88</v>
      </c>
    </row>
    <row r="1784" spans="1:10">
      <c r="A1784" s="398"/>
      <c r="B1784" s="955" t="s">
        <v>1937</v>
      </c>
      <c r="C1784" s="955"/>
      <c r="D1784" s="955"/>
      <c r="E1784" s="389"/>
      <c r="F1784" s="409"/>
      <c r="G1784" s="410"/>
      <c r="H1784" s="249">
        <f>SUM(H1782:H1783)</f>
        <v>7.66</v>
      </c>
    </row>
    <row r="1785" spans="1:10">
      <c r="A1785" s="398"/>
      <c r="B1785" s="955" t="s">
        <v>538</v>
      </c>
      <c r="C1785" s="955"/>
      <c r="D1785" s="955"/>
      <c r="E1785" s="389"/>
      <c r="F1785" s="411" t="s">
        <v>539</v>
      </c>
      <c r="G1785" s="410"/>
      <c r="H1785" s="249">
        <f>ROUND(H1784*F1785,2)</f>
        <v>1.91</v>
      </c>
    </row>
    <row r="1786" spans="1:10">
      <c r="A1786" s="398"/>
      <c r="B1786" s="956" t="s">
        <v>540</v>
      </c>
      <c r="C1786" s="956"/>
      <c r="D1786" s="956"/>
      <c r="E1786" s="740"/>
      <c r="F1786" s="768"/>
      <c r="G1786" s="769"/>
      <c r="H1786" s="770">
        <f>SUM(H1784:H1785)</f>
        <v>9.57</v>
      </c>
    </row>
    <row r="1787" spans="1:10" s="579" customFormat="1">
      <c r="A1787" s="601"/>
      <c r="B1787" s="780"/>
      <c r="C1787" s="780"/>
      <c r="D1787" s="780"/>
      <c r="E1787" s="740"/>
      <c r="F1787" s="768"/>
      <c r="G1787" s="769"/>
      <c r="H1787" s="770"/>
      <c r="I1787" s="400"/>
      <c r="J1787" s="404"/>
    </row>
    <row r="1788" spans="1:10" s="406" customFormat="1" ht="15">
      <c r="A1788" s="403" t="s">
        <v>2436</v>
      </c>
      <c r="B1788" s="961" t="s">
        <v>1005</v>
      </c>
      <c r="C1788" s="961"/>
      <c r="D1788" s="961"/>
      <c r="E1788" s="961"/>
      <c r="F1788" s="961"/>
      <c r="H1788" s="403" t="s">
        <v>15</v>
      </c>
      <c r="I1788" s="407"/>
      <c r="J1788" s="408"/>
    </row>
    <row r="1789" spans="1:10">
      <c r="A1789" s="398"/>
      <c r="B1789" s="230" t="s">
        <v>1005</v>
      </c>
      <c r="C1789" s="231" t="s">
        <v>15</v>
      </c>
      <c r="D1789" s="401">
        <v>1</v>
      </c>
      <c r="E1789" s="959">
        <f>Insumos!C376</f>
        <v>1.9564999999999999</v>
      </c>
      <c r="F1789" s="959"/>
      <c r="G1789" s="958">
        <f>ROUND(D1789*E1789,2)</f>
        <v>1.96</v>
      </c>
      <c r="H1789" s="958"/>
    </row>
    <row r="1790" spans="1:10">
      <c r="A1790" s="398"/>
      <c r="B1790" s="230" t="s">
        <v>535</v>
      </c>
      <c r="C1790" s="231" t="s">
        <v>112</v>
      </c>
      <c r="D1790" s="401">
        <v>6.5000000000000002E-2</v>
      </c>
      <c r="E1790" s="959">
        <f>Insumos!C377</f>
        <v>6.4064000000000005</v>
      </c>
      <c r="F1790" s="959"/>
      <c r="G1790" s="958">
        <f>ROUND(D1790*E1790,2)</f>
        <v>0.42</v>
      </c>
      <c r="H1790" s="958"/>
    </row>
    <row r="1791" spans="1:10">
      <c r="A1791" s="398"/>
      <c r="B1791" s="230" t="s">
        <v>513</v>
      </c>
      <c r="C1791" s="231" t="s">
        <v>112</v>
      </c>
      <c r="D1791" s="401">
        <v>6.5000000000000002E-2</v>
      </c>
      <c r="E1791" s="959">
        <f>Insumos!C378</f>
        <v>12.2759</v>
      </c>
      <c r="F1791" s="959"/>
      <c r="G1791" s="958">
        <f>ROUND(D1791*E1791,2)</f>
        <v>0.8</v>
      </c>
      <c r="H1791" s="958"/>
    </row>
    <row r="1792" spans="1:10">
      <c r="A1792" s="398"/>
      <c r="B1792" s="955" t="s">
        <v>536</v>
      </c>
      <c r="C1792" s="955"/>
      <c r="D1792" s="955"/>
      <c r="E1792" s="389"/>
      <c r="F1792" s="409"/>
      <c r="G1792" s="410"/>
      <c r="H1792" s="249">
        <f>SUM(G1789)</f>
        <v>1.96</v>
      </c>
    </row>
    <row r="1793" spans="1:10">
      <c r="A1793" s="398"/>
      <c r="B1793" s="955" t="s">
        <v>537</v>
      </c>
      <c r="C1793" s="955"/>
      <c r="D1793" s="955"/>
      <c r="E1793" s="389"/>
      <c r="F1793" s="409"/>
      <c r="G1793" s="410"/>
      <c r="H1793" s="249">
        <f>SUM(G1790:H1791)</f>
        <v>1.22</v>
      </c>
    </row>
    <row r="1794" spans="1:10">
      <c r="A1794" s="398"/>
      <c r="B1794" s="955" t="s">
        <v>1937</v>
      </c>
      <c r="C1794" s="955"/>
      <c r="D1794" s="955"/>
      <c r="E1794" s="389"/>
      <c r="F1794" s="409"/>
      <c r="G1794" s="410"/>
      <c r="H1794" s="249">
        <f>SUM(H1792:H1793)</f>
        <v>3.1799999999999997</v>
      </c>
    </row>
    <row r="1795" spans="1:10">
      <c r="A1795" s="398"/>
      <c r="B1795" s="955" t="s">
        <v>538</v>
      </c>
      <c r="C1795" s="955"/>
      <c r="D1795" s="955"/>
      <c r="E1795" s="389"/>
      <c r="F1795" s="411" t="s">
        <v>539</v>
      </c>
      <c r="G1795" s="410"/>
      <c r="H1795" s="249">
        <f>ROUND(H1794*F1795,2)</f>
        <v>0.79</v>
      </c>
    </row>
    <row r="1796" spans="1:10">
      <c r="A1796" s="398"/>
      <c r="B1796" s="956" t="s">
        <v>540</v>
      </c>
      <c r="C1796" s="956"/>
      <c r="D1796" s="956"/>
      <c r="E1796" s="740"/>
      <c r="F1796" s="768"/>
      <c r="G1796" s="769"/>
      <c r="H1796" s="770">
        <f>SUM(H1794:H1795)</f>
        <v>3.9699999999999998</v>
      </c>
    </row>
    <row r="1797" spans="1:10" s="579" customFormat="1">
      <c r="A1797" s="601"/>
      <c r="B1797" s="780"/>
      <c r="C1797" s="780"/>
      <c r="D1797" s="780"/>
      <c r="E1797" s="740"/>
      <c r="F1797" s="768"/>
      <c r="G1797" s="769"/>
      <c r="H1797" s="770"/>
      <c r="I1797" s="400"/>
      <c r="J1797" s="404"/>
    </row>
    <row r="1798" spans="1:10" s="406" customFormat="1" ht="15">
      <c r="A1798" s="403" t="s">
        <v>2437</v>
      </c>
      <c r="B1798" s="961" t="s">
        <v>959</v>
      </c>
      <c r="C1798" s="961"/>
      <c r="D1798" s="961"/>
      <c r="E1798" s="961"/>
      <c r="F1798" s="961"/>
      <c r="G1798" s="402"/>
      <c r="H1798" s="403" t="s">
        <v>14</v>
      </c>
      <c r="I1798" s="407"/>
      <c r="J1798" s="408"/>
    </row>
    <row r="1799" spans="1:10">
      <c r="A1799" s="398"/>
      <c r="B1799" s="230" t="s">
        <v>960</v>
      </c>
      <c r="C1799" s="231" t="s">
        <v>14</v>
      </c>
      <c r="D1799" s="401">
        <v>1</v>
      </c>
      <c r="E1799" s="959">
        <f>Insumos!C379</f>
        <v>1.4105000000000001</v>
      </c>
      <c r="F1799" s="959"/>
      <c r="G1799" s="958">
        <f>ROUND(D1799*E1799,2)</f>
        <v>1.41</v>
      </c>
      <c r="H1799" s="958"/>
    </row>
    <row r="1800" spans="1:10">
      <c r="A1800" s="398"/>
      <c r="B1800" s="230" t="s">
        <v>513</v>
      </c>
      <c r="C1800" s="231" t="s">
        <v>112</v>
      </c>
      <c r="D1800" s="401">
        <v>0.15</v>
      </c>
      <c r="E1800" s="959">
        <f>Insumos!C380</f>
        <v>12.2759</v>
      </c>
      <c r="F1800" s="959"/>
      <c r="G1800" s="958">
        <f>ROUND(D1800*E1800,2)</f>
        <v>1.84</v>
      </c>
      <c r="H1800" s="958"/>
    </row>
    <row r="1801" spans="1:10">
      <c r="A1801" s="398"/>
      <c r="B1801" s="230" t="s">
        <v>514</v>
      </c>
      <c r="C1801" s="231" t="s">
        <v>112</v>
      </c>
      <c r="D1801" s="401">
        <v>0.15</v>
      </c>
      <c r="E1801" s="959">
        <f>Insumos!C381</f>
        <v>6.4064000000000005</v>
      </c>
      <c r="F1801" s="959"/>
      <c r="G1801" s="958">
        <f>ROUND(D1801*E1801,2)</f>
        <v>0.96</v>
      </c>
      <c r="H1801" s="958"/>
    </row>
    <row r="1802" spans="1:10">
      <c r="A1802" s="398"/>
      <c r="B1802" s="955" t="s">
        <v>536</v>
      </c>
      <c r="C1802" s="955"/>
      <c r="D1802" s="955"/>
      <c r="E1802" s="389"/>
      <c r="F1802" s="409"/>
      <c r="G1802" s="410"/>
      <c r="H1802" s="249">
        <f>SUM(G1799)</f>
        <v>1.41</v>
      </c>
    </row>
    <row r="1803" spans="1:10">
      <c r="A1803" s="398"/>
      <c r="B1803" s="955" t="s">
        <v>537</v>
      </c>
      <c r="C1803" s="955"/>
      <c r="D1803" s="955"/>
      <c r="E1803" s="389"/>
      <c r="F1803" s="409"/>
      <c r="G1803" s="410"/>
      <c r="H1803" s="249">
        <f>SUM(G1800:H1801)</f>
        <v>2.8</v>
      </c>
    </row>
    <row r="1804" spans="1:10">
      <c r="A1804" s="398"/>
      <c r="B1804" s="955" t="s">
        <v>1937</v>
      </c>
      <c r="C1804" s="955"/>
      <c r="D1804" s="955"/>
      <c r="E1804" s="389"/>
      <c r="F1804" s="409"/>
      <c r="G1804" s="410"/>
      <c r="H1804" s="249">
        <f>SUM(H1802:H1803)</f>
        <v>4.21</v>
      </c>
    </row>
    <row r="1805" spans="1:10">
      <c r="A1805" s="398"/>
      <c r="B1805" s="955" t="s">
        <v>538</v>
      </c>
      <c r="C1805" s="955"/>
      <c r="D1805" s="955"/>
      <c r="E1805" s="389"/>
      <c r="F1805" s="411" t="s">
        <v>539</v>
      </c>
      <c r="G1805" s="410"/>
      <c r="H1805" s="249">
        <f>ROUND(H1804*F1805,2)</f>
        <v>1.05</v>
      </c>
    </row>
    <row r="1806" spans="1:10">
      <c r="A1806" s="398"/>
      <c r="B1806" s="956" t="s">
        <v>540</v>
      </c>
      <c r="C1806" s="956"/>
      <c r="D1806" s="956"/>
      <c r="E1806" s="740"/>
      <c r="F1806" s="768"/>
      <c r="G1806" s="769"/>
      <c r="H1806" s="770">
        <f>SUM(H1804:H1805)</f>
        <v>5.26</v>
      </c>
    </row>
    <row r="1807" spans="1:10" s="579" customFormat="1">
      <c r="A1807" s="601"/>
      <c r="B1807" s="780"/>
      <c r="C1807" s="780"/>
      <c r="D1807" s="780"/>
      <c r="E1807" s="740"/>
      <c r="F1807" s="768"/>
      <c r="G1807" s="769"/>
      <c r="H1807" s="770"/>
      <c r="I1807" s="400"/>
      <c r="J1807" s="404"/>
    </row>
    <row r="1808" spans="1:10" s="406" customFormat="1" ht="32.1" customHeight="1">
      <c r="A1808" s="403" t="s">
        <v>2438</v>
      </c>
      <c r="B1808" s="960" t="s">
        <v>1562</v>
      </c>
      <c r="C1808" s="960"/>
      <c r="D1808" s="960"/>
      <c r="E1808" s="960"/>
      <c r="F1808" s="960"/>
      <c r="G1808" s="402"/>
      <c r="H1808" s="403" t="s">
        <v>14</v>
      </c>
      <c r="I1808" s="407"/>
      <c r="J1808" s="408"/>
    </row>
    <row r="1809" spans="1:10">
      <c r="A1809" s="398"/>
      <c r="B1809" s="230" t="s">
        <v>1007</v>
      </c>
      <c r="C1809" s="231" t="s">
        <v>14</v>
      </c>
      <c r="D1809" s="437">
        <v>1</v>
      </c>
      <c r="E1809" s="959">
        <f>Insumos!C382</f>
        <v>68.550300000000007</v>
      </c>
      <c r="F1809" s="959"/>
      <c r="G1809" s="958">
        <f>ROUND(D1809*E1809,2)</f>
        <v>68.55</v>
      </c>
      <c r="H1809" s="958"/>
    </row>
    <row r="1810" spans="1:10">
      <c r="A1810" s="398"/>
      <c r="B1810" s="230" t="s">
        <v>514</v>
      </c>
      <c r="C1810" s="231" t="s">
        <v>112</v>
      </c>
      <c r="D1810" s="437">
        <v>1.6689729729729779</v>
      </c>
      <c r="E1810" s="959">
        <f>Insumos!C383</f>
        <v>6.4064000000000005</v>
      </c>
      <c r="F1810" s="959"/>
      <c r="G1810" s="958">
        <f>ROUND(D1810*E1810,2)</f>
        <v>10.69</v>
      </c>
      <c r="H1810" s="958"/>
    </row>
    <row r="1811" spans="1:10">
      <c r="A1811" s="398"/>
      <c r="B1811" s="230" t="s">
        <v>513</v>
      </c>
      <c r="C1811" s="231" t="s">
        <v>112</v>
      </c>
      <c r="D1811" s="437">
        <v>1.5984000000000005</v>
      </c>
      <c r="E1811" s="959">
        <f>Insumos!C384</f>
        <v>12.2759</v>
      </c>
      <c r="F1811" s="959"/>
      <c r="G1811" s="958">
        <f>ROUND(D1811*E1811,2)</f>
        <v>19.62</v>
      </c>
      <c r="H1811" s="958"/>
    </row>
    <row r="1812" spans="1:10">
      <c r="A1812" s="398"/>
      <c r="B1812" s="955" t="s">
        <v>536</v>
      </c>
      <c r="C1812" s="955"/>
      <c r="D1812" s="955"/>
      <c r="E1812" s="389"/>
      <c r="F1812" s="409"/>
      <c r="G1812" s="410"/>
      <c r="H1812" s="249">
        <f>SUM(G1809)</f>
        <v>68.55</v>
      </c>
    </row>
    <row r="1813" spans="1:10">
      <c r="A1813" s="398"/>
      <c r="B1813" s="955" t="s">
        <v>537</v>
      </c>
      <c r="C1813" s="955"/>
      <c r="D1813" s="955"/>
      <c r="E1813" s="389"/>
      <c r="F1813" s="409"/>
      <c r="G1813" s="410"/>
      <c r="H1813" s="249">
        <f>SUM(G1810:H1811)</f>
        <v>30.310000000000002</v>
      </c>
    </row>
    <row r="1814" spans="1:10">
      <c r="A1814" s="398"/>
      <c r="B1814" s="955" t="s">
        <v>1937</v>
      </c>
      <c r="C1814" s="955"/>
      <c r="D1814" s="955"/>
      <c r="E1814" s="389"/>
      <c r="F1814" s="409"/>
      <c r="G1814" s="410"/>
      <c r="H1814" s="249">
        <f>SUM(H1812:H1813)</f>
        <v>98.86</v>
      </c>
    </row>
    <row r="1815" spans="1:10">
      <c r="A1815" s="398"/>
      <c r="B1815" s="955" t="s">
        <v>538</v>
      </c>
      <c r="C1815" s="955"/>
      <c r="D1815" s="955"/>
      <c r="E1815" s="389"/>
      <c r="F1815" s="411" t="s">
        <v>539</v>
      </c>
      <c r="G1815" s="410"/>
      <c r="H1815" s="249">
        <f>ROUND(H1814*F1815,2)</f>
        <v>24.68</v>
      </c>
    </row>
    <row r="1816" spans="1:10">
      <c r="A1816" s="398"/>
      <c r="B1816" s="956" t="s">
        <v>540</v>
      </c>
      <c r="C1816" s="956"/>
      <c r="D1816" s="956"/>
      <c r="E1816" s="740"/>
      <c r="F1816" s="768"/>
      <c r="G1816" s="769"/>
      <c r="H1816" s="770">
        <f>SUM(H1814:H1815)</f>
        <v>123.53999999999999</v>
      </c>
    </row>
    <row r="1817" spans="1:10" s="579" customFormat="1">
      <c r="A1817" s="601"/>
      <c r="B1817" s="780"/>
      <c r="C1817" s="780"/>
      <c r="D1817" s="780"/>
      <c r="E1817" s="740"/>
      <c r="F1817" s="768"/>
      <c r="G1817" s="769"/>
      <c r="H1817" s="770"/>
      <c r="I1817" s="400"/>
      <c r="J1817" s="404"/>
    </row>
    <row r="1818" spans="1:10" s="406" customFormat="1" ht="32.1" customHeight="1">
      <c r="A1818" s="403" t="s">
        <v>2439</v>
      </c>
      <c r="B1818" s="961" t="s">
        <v>1008</v>
      </c>
      <c r="C1818" s="961"/>
      <c r="D1818" s="961"/>
      <c r="E1818" s="961"/>
      <c r="F1818" s="961"/>
      <c r="G1818" s="402"/>
      <c r="H1818" s="403" t="s">
        <v>14</v>
      </c>
      <c r="I1818" s="407"/>
      <c r="J1818" s="408"/>
    </row>
    <row r="1819" spans="1:10">
      <c r="A1819" s="398"/>
      <c r="B1819" s="230" t="s">
        <v>1009</v>
      </c>
      <c r="C1819" s="231" t="s">
        <v>16</v>
      </c>
      <c r="D1819" s="401">
        <v>3.7</v>
      </c>
      <c r="E1819" s="959">
        <f>Insumos!C385</f>
        <v>3.5489999999999999</v>
      </c>
      <c r="F1819" s="959"/>
      <c r="G1819" s="958">
        <f t="shared" ref="G1819:G1829" si="70">ROUND(D1819*E1819,2)</f>
        <v>13.13</v>
      </c>
      <c r="H1819" s="958"/>
    </row>
    <row r="1820" spans="1:10">
      <c r="A1820" s="398"/>
      <c r="B1820" s="230" t="s">
        <v>597</v>
      </c>
      <c r="C1820" s="231" t="s">
        <v>16</v>
      </c>
      <c r="D1820" s="401">
        <v>0.113</v>
      </c>
      <c r="E1820" s="959">
        <f>Insumos!C386</f>
        <v>6.8250000000000002</v>
      </c>
      <c r="F1820" s="959"/>
      <c r="G1820" s="958">
        <f t="shared" si="70"/>
        <v>0.77</v>
      </c>
      <c r="H1820" s="958"/>
    </row>
    <row r="1821" spans="1:10">
      <c r="A1821" s="398"/>
      <c r="B1821" s="230" t="s">
        <v>1010</v>
      </c>
      <c r="C1821" s="231" t="s">
        <v>97</v>
      </c>
      <c r="D1821" s="401">
        <v>2.1999999999999999E-2</v>
      </c>
      <c r="E1821" s="959">
        <f>Insumos!C387</f>
        <v>301.94710000000003</v>
      </c>
      <c r="F1821" s="959"/>
      <c r="G1821" s="958">
        <f t="shared" si="70"/>
        <v>6.64</v>
      </c>
      <c r="H1821" s="958"/>
    </row>
    <row r="1822" spans="1:10" ht="33.75">
      <c r="A1822" s="398"/>
      <c r="B1822" s="230" t="s">
        <v>1011</v>
      </c>
      <c r="C1822" s="231" t="s">
        <v>15</v>
      </c>
      <c r="D1822" s="401">
        <v>0.14000000000000001</v>
      </c>
      <c r="E1822" s="959">
        <f>Insumos!C388</f>
        <v>28.1645</v>
      </c>
      <c r="F1822" s="959"/>
      <c r="G1822" s="958">
        <f t="shared" si="70"/>
        <v>3.94</v>
      </c>
      <c r="H1822" s="958"/>
    </row>
    <row r="1823" spans="1:10" ht="22.5">
      <c r="A1823" s="398"/>
      <c r="B1823" s="230" t="s">
        <v>1012</v>
      </c>
      <c r="C1823" s="231" t="s">
        <v>13</v>
      </c>
      <c r="D1823" s="401">
        <v>1.1299999999999999</v>
      </c>
      <c r="E1823" s="959">
        <f>Insumos!C389</f>
        <v>51.060099999999998</v>
      </c>
      <c r="F1823" s="959"/>
      <c r="G1823" s="958">
        <f t="shared" si="70"/>
        <v>57.7</v>
      </c>
      <c r="H1823" s="958"/>
    </row>
    <row r="1824" spans="1:10">
      <c r="A1824" s="398"/>
      <c r="B1824" s="230" t="s">
        <v>1013</v>
      </c>
      <c r="C1824" s="231" t="s">
        <v>13</v>
      </c>
      <c r="D1824" s="401">
        <v>0.93273529411764744</v>
      </c>
      <c r="E1824" s="959">
        <f>Insumos!C390</f>
        <v>21.057400000000001</v>
      </c>
      <c r="F1824" s="959"/>
      <c r="G1824" s="958">
        <f t="shared" si="70"/>
        <v>19.64</v>
      </c>
      <c r="H1824" s="958"/>
    </row>
    <row r="1825" spans="1:10">
      <c r="A1825" s="398"/>
      <c r="B1825" s="230" t="s">
        <v>1014</v>
      </c>
      <c r="C1825" s="231" t="s">
        <v>97</v>
      </c>
      <c r="D1825" s="401">
        <v>3.5000000000000003E-2</v>
      </c>
      <c r="E1825" s="959">
        <f>Insumos!C391</f>
        <v>301.94710000000003</v>
      </c>
      <c r="F1825" s="959"/>
      <c r="G1825" s="958">
        <f t="shared" si="70"/>
        <v>10.57</v>
      </c>
      <c r="H1825" s="958"/>
    </row>
    <row r="1826" spans="1:10">
      <c r="A1826" s="398"/>
      <c r="B1826" s="230" t="s">
        <v>1015</v>
      </c>
      <c r="C1826" s="231" t="s">
        <v>14</v>
      </c>
      <c r="D1826" s="401">
        <v>1</v>
      </c>
      <c r="E1826" s="959">
        <f>Insumos!C392</f>
        <v>201.5104</v>
      </c>
      <c r="F1826" s="959"/>
      <c r="G1826" s="958">
        <f t="shared" si="70"/>
        <v>201.51</v>
      </c>
      <c r="H1826" s="958"/>
    </row>
    <row r="1827" spans="1:10">
      <c r="A1827" s="398"/>
      <c r="B1827" s="230" t="s">
        <v>535</v>
      </c>
      <c r="C1827" s="231" t="s">
        <v>112</v>
      </c>
      <c r="D1827" s="401">
        <v>0.92</v>
      </c>
      <c r="E1827" s="959">
        <f>Insumos!C393</f>
        <v>6.4064000000000005</v>
      </c>
      <c r="F1827" s="959"/>
      <c r="G1827" s="958">
        <f t="shared" si="70"/>
        <v>5.89</v>
      </c>
      <c r="H1827" s="958"/>
    </row>
    <row r="1828" spans="1:10">
      <c r="A1828" s="398"/>
      <c r="B1828" s="230" t="s">
        <v>576</v>
      </c>
      <c r="C1828" s="231" t="s">
        <v>112</v>
      </c>
      <c r="D1828" s="401">
        <v>0.92</v>
      </c>
      <c r="E1828" s="959">
        <f>Insumos!C394</f>
        <v>8.6722999999999999</v>
      </c>
      <c r="F1828" s="959"/>
      <c r="G1828" s="958">
        <f t="shared" si="70"/>
        <v>7.98</v>
      </c>
      <c r="H1828" s="958"/>
    </row>
    <row r="1829" spans="1:10">
      <c r="A1829" s="398"/>
      <c r="B1829" s="230" t="s">
        <v>615</v>
      </c>
      <c r="C1829" s="231" t="s">
        <v>112</v>
      </c>
      <c r="D1829" s="401">
        <v>0.2</v>
      </c>
      <c r="E1829" s="959">
        <f>Insumos!C395</f>
        <v>8.6722999999999999</v>
      </c>
      <c r="F1829" s="959"/>
      <c r="G1829" s="958">
        <f t="shared" si="70"/>
        <v>1.73</v>
      </c>
      <c r="H1829" s="958"/>
    </row>
    <row r="1830" spans="1:10">
      <c r="A1830" s="398"/>
      <c r="B1830" s="955" t="s">
        <v>536</v>
      </c>
      <c r="C1830" s="955"/>
      <c r="D1830" s="955"/>
      <c r="E1830" s="389"/>
      <c r="F1830" s="409"/>
      <c r="G1830" s="410"/>
      <c r="H1830" s="249">
        <f>SUM(G1819:H1826)</f>
        <v>313.89999999999998</v>
      </c>
    </row>
    <row r="1831" spans="1:10">
      <c r="A1831" s="398"/>
      <c r="B1831" s="955" t="s">
        <v>537</v>
      </c>
      <c r="C1831" s="955"/>
      <c r="D1831" s="955"/>
      <c r="E1831" s="389"/>
      <c r="F1831" s="409"/>
      <c r="G1831" s="410"/>
      <c r="H1831" s="249">
        <f>SUM(G1827:H1829)</f>
        <v>15.600000000000001</v>
      </c>
    </row>
    <row r="1832" spans="1:10">
      <c r="A1832" s="398"/>
      <c r="B1832" s="955" t="s">
        <v>1937</v>
      </c>
      <c r="C1832" s="955"/>
      <c r="D1832" s="955"/>
      <c r="E1832" s="389"/>
      <c r="F1832" s="409"/>
      <c r="G1832" s="410"/>
      <c r="H1832" s="249">
        <f>SUM(H1830:H1831)</f>
        <v>329.5</v>
      </c>
    </row>
    <row r="1833" spans="1:10">
      <c r="A1833" s="398"/>
      <c r="B1833" s="955" t="s">
        <v>538</v>
      </c>
      <c r="C1833" s="955"/>
      <c r="D1833" s="955"/>
      <c r="E1833" s="389"/>
      <c r="F1833" s="411" t="s">
        <v>539</v>
      </c>
      <c r="G1833" s="410"/>
      <c r="H1833" s="249">
        <f>ROUND(H1832*F1833,2)</f>
        <v>82.24</v>
      </c>
    </row>
    <row r="1834" spans="1:10">
      <c r="A1834" s="398"/>
      <c r="B1834" s="956" t="s">
        <v>540</v>
      </c>
      <c r="C1834" s="956"/>
      <c r="D1834" s="956"/>
      <c r="E1834" s="740"/>
      <c r="F1834" s="768"/>
      <c r="G1834" s="769"/>
      <c r="H1834" s="770">
        <f>SUM(H1832:H1833)</f>
        <v>411.74</v>
      </c>
    </row>
    <row r="1835" spans="1:10" s="579" customFormat="1">
      <c r="A1835" s="601"/>
      <c r="B1835" s="780"/>
      <c r="C1835" s="780"/>
      <c r="D1835" s="780"/>
      <c r="E1835" s="740"/>
      <c r="F1835" s="768"/>
      <c r="G1835" s="769"/>
      <c r="H1835" s="770"/>
      <c r="I1835" s="400"/>
      <c r="J1835" s="404"/>
    </row>
    <row r="1836" spans="1:10" s="406" customFormat="1" ht="32.1" customHeight="1">
      <c r="A1836" s="403" t="s">
        <v>2440</v>
      </c>
      <c r="B1836" s="961" t="s">
        <v>524</v>
      </c>
      <c r="C1836" s="961"/>
      <c r="D1836" s="961"/>
      <c r="E1836" s="961"/>
      <c r="F1836" s="961"/>
      <c r="G1836" s="402"/>
      <c r="H1836" s="402" t="s">
        <v>14</v>
      </c>
      <c r="I1836" s="407"/>
      <c r="J1836" s="408"/>
    </row>
    <row r="1837" spans="1:10">
      <c r="A1837" s="398"/>
      <c r="B1837" s="230" t="s">
        <v>1064</v>
      </c>
      <c r="C1837" s="231" t="s">
        <v>14</v>
      </c>
      <c r="D1837" s="401">
        <v>1</v>
      </c>
      <c r="E1837" s="964">
        <f>Insumos!C396</f>
        <v>10666.5741</v>
      </c>
      <c r="F1837" s="964"/>
      <c r="G1837" s="958">
        <f>ROUND(D1837*E1837,2)</f>
        <v>10666.57</v>
      </c>
      <c r="H1837" s="958"/>
    </row>
    <row r="1838" spans="1:10">
      <c r="A1838" s="398"/>
      <c r="B1838" s="230" t="s">
        <v>1065</v>
      </c>
      <c r="C1838" s="231" t="s">
        <v>14</v>
      </c>
      <c r="D1838" s="401">
        <v>1</v>
      </c>
      <c r="E1838" s="959">
        <f>Insumos!C397</f>
        <v>4550</v>
      </c>
      <c r="F1838" s="959"/>
      <c r="G1838" s="958">
        <f>ROUND(D1838*E1838,2)</f>
        <v>4550</v>
      </c>
      <c r="H1838" s="958"/>
    </row>
    <row r="1839" spans="1:10">
      <c r="A1839" s="398"/>
      <c r="B1839" s="955" t="s">
        <v>536</v>
      </c>
      <c r="C1839" s="955"/>
      <c r="D1839" s="955"/>
      <c r="E1839" s="389"/>
      <c r="F1839" s="409"/>
      <c r="G1839" s="410"/>
      <c r="H1839" s="249">
        <f>SUM(G1837:H1838)</f>
        <v>15216.57</v>
      </c>
    </row>
    <row r="1840" spans="1:10">
      <c r="A1840" s="398"/>
      <c r="B1840" s="955" t="s">
        <v>537</v>
      </c>
      <c r="C1840" s="955"/>
      <c r="D1840" s="955"/>
      <c r="E1840" s="389"/>
      <c r="F1840" s="409"/>
      <c r="G1840" s="410"/>
      <c r="H1840" s="249">
        <v>0</v>
      </c>
    </row>
    <row r="1841" spans="1:10">
      <c r="A1841" s="398"/>
      <c r="B1841" s="955" t="s">
        <v>1937</v>
      </c>
      <c r="C1841" s="955"/>
      <c r="D1841" s="955"/>
      <c r="E1841" s="389"/>
      <c r="F1841" s="409"/>
      <c r="G1841" s="410"/>
      <c r="H1841" s="249">
        <f>SUM(H1839:H1840)</f>
        <v>15216.57</v>
      </c>
    </row>
    <row r="1842" spans="1:10">
      <c r="A1842" s="398"/>
      <c r="B1842" s="955" t="s">
        <v>538</v>
      </c>
      <c r="C1842" s="955"/>
      <c r="D1842" s="955"/>
      <c r="E1842" s="389"/>
      <c r="F1842" s="466">
        <v>0.1</v>
      </c>
      <c r="G1842" s="410"/>
      <c r="H1842" s="249">
        <f>ROUND(H1841*F1842,2)</f>
        <v>1521.66</v>
      </c>
    </row>
    <row r="1843" spans="1:10">
      <c r="A1843" s="398"/>
      <c r="B1843" s="955" t="s">
        <v>540</v>
      </c>
      <c r="C1843" s="955"/>
      <c r="D1843" s="955"/>
      <c r="E1843" s="389"/>
      <c r="F1843" s="409"/>
      <c r="G1843" s="410"/>
      <c r="H1843" s="249">
        <f>SUM(H1841:H1842)</f>
        <v>16738.23</v>
      </c>
    </row>
    <row r="1844" spans="1:10" s="579" customFormat="1">
      <c r="A1844" s="601"/>
      <c r="B1844" s="738"/>
      <c r="C1844" s="738"/>
      <c r="D1844" s="738"/>
      <c r="E1844" s="737"/>
      <c r="F1844" s="605"/>
      <c r="G1844" s="606"/>
      <c r="H1844" s="597"/>
      <c r="I1844" s="400"/>
      <c r="J1844" s="404"/>
    </row>
    <row r="1845" spans="1:10" s="406" customFormat="1" ht="25.9" customHeight="1">
      <c r="A1845" s="403" t="s">
        <v>2441</v>
      </c>
      <c r="B1845" s="960" t="s">
        <v>2165</v>
      </c>
      <c r="C1845" s="960"/>
      <c r="D1845" s="960"/>
      <c r="E1845" s="960"/>
      <c r="F1845" s="960"/>
      <c r="G1845" s="492"/>
      <c r="H1845" s="403" t="s">
        <v>14</v>
      </c>
      <c r="I1845" s="407"/>
      <c r="J1845" s="408"/>
    </row>
    <row r="1846" spans="1:10">
      <c r="A1846" s="398"/>
      <c r="B1846" s="230" t="s">
        <v>1017</v>
      </c>
      <c r="C1846" s="231" t="s">
        <v>14</v>
      </c>
      <c r="D1846" s="436">
        <v>1</v>
      </c>
      <c r="E1846" s="964">
        <f>Insumos!C398</f>
        <v>347.41070000000002</v>
      </c>
      <c r="F1846" s="964"/>
      <c r="G1846" s="958">
        <f>ROUND(D1846*E1846,2)</f>
        <v>347.41</v>
      </c>
      <c r="H1846" s="958"/>
    </row>
    <row r="1847" spans="1:10">
      <c r="A1847" s="398"/>
      <c r="B1847" s="230" t="s">
        <v>514</v>
      </c>
      <c r="C1847" s="231" t="s">
        <v>112</v>
      </c>
      <c r="D1847" s="436">
        <v>2.2455000000000034</v>
      </c>
      <c r="E1847" s="959">
        <f>Insumos!C399</f>
        <v>6.4064000000000005</v>
      </c>
      <c r="F1847" s="959"/>
      <c r="G1847" s="958">
        <f>ROUND(D1847*E1847,2)</f>
        <v>14.39</v>
      </c>
      <c r="H1847" s="958"/>
    </row>
    <row r="1848" spans="1:10">
      <c r="A1848" s="398"/>
      <c r="B1848" s="230" t="s">
        <v>513</v>
      </c>
      <c r="C1848" s="231" t="s">
        <v>112</v>
      </c>
      <c r="D1848" s="436">
        <v>2.25</v>
      </c>
      <c r="E1848" s="959">
        <f>Insumos!C400</f>
        <v>12.2759</v>
      </c>
      <c r="F1848" s="959"/>
      <c r="G1848" s="958">
        <f>ROUND(D1848*E1848,2)</f>
        <v>27.62</v>
      </c>
      <c r="H1848" s="958"/>
    </row>
    <row r="1849" spans="1:10">
      <c r="A1849" s="398"/>
      <c r="B1849" s="955" t="s">
        <v>536</v>
      </c>
      <c r="C1849" s="955"/>
      <c r="D1849" s="955"/>
      <c r="E1849" s="389"/>
      <c r="F1849" s="409"/>
      <c r="G1849" s="410"/>
      <c r="H1849" s="249">
        <f>SUM(G1846)</f>
        <v>347.41</v>
      </c>
    </row>
    <row r="1850" spans="1:10">
      <c r="A1850" s="398"/>
      <c r="B1850" s="955" t="s">
        <v>537</v>
      </c>
      <c r="C1850" s="955"/>
      <c r="D1850" s="955"/>
      <c r="E1850" s="389"/>
      <c r="F1850" s="409"/>
      <c r="G1850" s="410"/>
      <c r="H1850" s="249">
        <f>SUM(G1847:H1848)</f>
        <v>42.010000000000005</v>
      </c>
    </row>
    <row r="1851" spans="1:10">
      <c r="A1851" s="398"/>
      <c r="B1851" s="955" t="s">
        <v>1937</v>
      </c>
      <c r="C1851" s="955"/>
      <c r="D1851" s="955"/>
      <c r="E1851" s="389"/>
      <c r="F1851" s="409"/>
      <c r="G1851" s="410"/>
      <c r="H1851" s="249">
        <f>SUM(H1849:H1850)</f>
        <v>389.42</v>
      </c>
    </row>
    <row r="1852" spans="1:10">
      <c r="A1852" s="398"/>
      <c r="B1852" s="955" t="s">
        <v>538</v>
      </c>
      <c r="C1852" s="955"/>
      <c r="D1852" s="955"/>
      <c r="E1852" s="389"/>
      <c r="F1852" s="411" t="s">
        <v>539</v>
      </c>
      <c r="G1852" s="410"/>
      <c r="H1852" s="249">
        <f>ROUND(H1851*F1852,2)</f>
        <v>97.2</v>
      </c>
    </row>
    <row r="1853" spans="1:10">
      <c r="A1853" s="398"/>
      <c r="B1853" s="956" t="s">
        <v>540</v>
      </c>
      <c r="C1853" s="956"/>
      <c r="D1853" s="956"/>
      <c r="E1853" s="740"/>
      <c r="F1853" s="768"/>
      <c r="G1853" s="769"/>
      <c r="H1853" s="770">
        <f>SUM(H1851:H1852)</f>
        <v>486.62</v>
      </c>
    </row>
    <row r="1854" spans="1:10" s="579" customFormat="1">
      <c r="A1854" s="601"/>
      <c r="B1854" s="780"/>
      <c r="C1854" s="780"/>
      <c r="D1854" s="780"/>
      <c r="E1854" s="740"/>
      <c r="F1854" s="768"/>
      <c r="G1854" s="769"/>
      <c r="H1854" s="770"/>
      <c r="I1854" s="400"/>
      <c r="J1854" s="404"/>
    </row>
    <row r="1855" spans="1:10" s="406" customFormat="1" ht="15">
      <c r="A1855" s="403" t="s">
        <v>2442</v>
      </c>
      <c r="B1855" s="961" t="s">
        <v>475</v>
      </c>
      <c r="C1855" s="961"/>
      <c r="D1855" s="961"/>
      <c r="E1855" s="961"/>
      <c r="F1855" s="961"/>
      <c r="G1855" s="402"/>
      <c r="H1855" s="403" t="s">
        <v>14</v>
      </c>
      <c r="I1855" s="407"/>
      <c r="J1855" s="408"/>
    </row>
    <row r="1856" spans="1:10">
      <c r="A1856" s="398"/>
      <c r="B1856" s="230" t="s">
        <v>475</v>
      </c>
      <c r="C1856" s="231" t="s">
        <v>14</v>
      </c>
      <c r="D1856" s="401">
        <v>1</v>
      </c>
      <c r="E1856" s="959">
        <f>Insumos!C401</f>
        <v>31.85</v>
      </c>
      <c r="F1856" s="959"/>
      <c r="G1856" s="958">
        <f>ROUND(D1856*E1856,2)</f>
        <v>31.85</v>
      </c>
      <c r="H1856" s="958"/>
    </row>
    <row r="1857" spans="1:10">
      <c r="A1857" s="398"/>
      <c r="B1857" s="955" t="s">
        <v>536</v>
      </c>
      <c r="C1857" s="955"/>
      <c r="D1857" s="955"/>
      <c r="E1857" s="389"/>
      <c r="F1857" s="409"/>
      <c r="G1857" s="410"/>
      <c r="H1857" s="249">
        <f>SUM(G1856)</f>
        <v>31.85</v>
      </c>
    </row>
    <row r="1858" spans="1:10">
      <c r="A1858" s="398"/>
      <c r="B1858" s="955" t="s">
        <v>537</v>
      </c>
      <c r="C1858" s="955"/>
      <c r="D1858" s="955"/>
      <c r="E1858" s="389"/>
      <c r="F1858" s="409"/>
      <c r="G1858" s="410"/>
      <c r="H1858" s="249">
        <v>0</v>
      </c>
    </row>
    <row r="1859" spans="1:10">
      <c r="A1859" s="398"/>
      <c r="B1859" s="955" t="s">
        <v>1937</v>
      </c>
      <c r="C1859" s="955"/>
      <c r="D1859" s="955"/>
      <c r="E1859" s="389"/>
      <c r="F1859" s="409"/>
      <c r="G1859" s="410"/>
      <c r="H1859" s="249">
        <f>SUM(H1857:H1858)</f>
        <v>31.85</v>
      </c>
    </row>
    <row r="1860" spans="1:10">
      <c r="A1860" s="398"/>
      <c r="B1860" s="955" t="s">
        <v>538</v>
      </c>
      <c r="C1860" s="955"/>
      <c r="D1860" s="955"/>
      <c r="E1860" s="389"/>
      <c r="F1860" s="466">
        <v>0.1</v>
      </c>
      <c r="G1860" s="410"/>
      <c r="H1860" s="249">
        <f>ROUND(H1859*F1860,2)</f>
        <v>3.19</v>
      </c>
    </row>
    <row r="1861" spans="1:10">
      <c r="A1861" s="398"/>
      <c r="B1861" s="956" t="s">
        <v>540</v>
      </c>
      <c r="C1861" s="956"/>
      <c r="D1861" s="956"/>
      <c r="E1861" s="740"/>
      <c r="F1861" s="768"/>
      <c r="G1861" s="769"/>
      <c r="H1861" s="770">
        <f>SUM(H1859:H1860)</f>
        <v>35.04</v>
      </c>
    </row>
    <row r="1862" spans="1:10" s="579" customFormat="1">
      <c r="A1862" s="601"/>
      <c r="B1862" s="780"/>
      <c r="C1862" s="780"/>
      <c r="D1862" s="780"/>
      <c r="E1862" s="740"/>
      <c r="F1862" s="768"/>
      <c r="G1862" s="769"/>
      <c r="H1862" s="770"/>
      <c r="I1862" s="400"/>
      <c r="J1862" s="404"/>
    </row>
    <row r="1863" spans="1:10" s="406" customFormat="1" ht="15">
      <c r="A1863" s="403" t="s">
        <v>2443</v>
      </c>
      <c r="B1863" s="961" t="s">
        <v>1018</v>
      </c>
      <c r="C1863" s="961"/>
      <c r="D1863" s="961"/>
      <c r="E1863" s="961"/>
      <c r="F1863" s="961"/>
      <c r="G1863" s="402"/>
      <c r="H1863" s="403" t="s">
        <v>14</v>
      </c>
      <c r="I1863" s="407"/>
      <c r="J1863" s="408"/>
    </row>
    <row r="1864" spans="1:10">
      <c r="A1864" s="398"/>
      <c r="B1864" s="230" t="s">
        <v>1019</v>
      </c>
      <c r="C1864" s="231" t="s">
        <v>14</v>
      </c>
      <c r="D1864" s="401">
        <v>1</v>
      </c>
      <c r="E1864" s="959">
        <f>Insumos!C402</f>
        <v>0.83720000000000006</v>
      </c>
      <c r="F1864" s="959"/>
      <c r="G1864" s="958">
        <f>ROUND(D1864*E1864,2)</f>
        <v>0.84</v>
      </c>
      <c r="H1864" s="958"/>
    </row>
    <row r="1865" spans="1:10">
      <c r="A1865" s="398"/>
      <c r="B1865" s="230" t="s">
        <v>513</v>
      </c>
      <c r="C1865" s="231" t="s">
        <v>112</v>
      </c>
      <c r="D1865" s="401">
        <v>0.05</v>
      </c>
      <c r="E1865" s="959">
        <f>Insumos!C403</f>
        <v>12.2759</v>
      </c>
      <c r="F1865" s="959"/>
      <c r="G1865" s="958">
        <f>ROUND(D1865*E1865,2)</f>
        <v>0.61</v>
      </c>
      <c r="H1865" s="958"/>
    </row>
    <row r="1866" spans="1:10">
      <c r="A1866" s="398"/>
      <c r="B1866" s="955" t="s">
        <v>536</v>
      </c>
      <c r="C1866" s="955"/>
      <c r="D1866" s="955"/>
      <c r="E1866" s="389"/>
      <c r="F1866" s="409"/>
      <c r="G1866" s="410"/>
      <c r="H1866" s="249">
        <f>SUM(G1864)</f>
        <v>0.84</v>
      </c>
    </row>
    <row r="1867" spans="1:10">
      <c r="A1867" s="398"/>
      <c r="B1867" s="955" t="s">
        <v>537</v>
      </c>
      <c r="C1867" s="955"/>
      <c r="D1867" s="955"/>
      <c r="E1867" s="389"/>
      <c r="F1867" s="409"/>
      <c r="G1867" s="410"/>
      <c r="H1867" s="249">
        <f>SUM(G1865)</f>
        <v>0.61</v>
      </c>
    </row>
    <row r="1868" spans="1:10">
      <c r="A1868" s="398"/>
      <c r="B1868" s="955" t="s">
        <v>1937</v>
      </c>
      <c r="C1868" s="955"/>
      <c r="D1868" s="955"/>
      <c r="E1868" s="389"/>
      <c r="F1868" s="409"/>
      <c r="G1868" s="410"/>
      <c r="H1868" s="249">
        <f>SUM(H1866:H1867)</f>
        <v>1.45</v>
      </c>
    </row>
    <row r="1869" spans="1:10">
      <c r="A1869" s="398"/>
      <c r="B1869" s="955" t="s">
        <v>538</v>
      </c>
      <c r="C1869" s="955"/>
      <c r="D1869" s="955"/>
      <c r="E1869" s="389"/>
      <c r="F1869" s="411" t="s">
        <v>539</v>
      </c>
      <c r="G1869" s="410"/>
      <c r="H1869" s="249">
        <f>ROUND(H1868*F1869,2)</f>
        <v>0.36</v>
      </c>
    </row>
    <row r="1870" spans="1:10">
      <c r="A1870" s="398"/>
      <c r="B1870" s="956" t="s">
        <v>540</v>
      </c>
      <c r="C1870" s="956"/>
      <c r="D1870" s="956"/>
      <c r="E1870" s="740"/>
      <c r="F1870" s="768"/>
      <c r="G1870" s="769"/>
      <c r="H1870" s="770">
        <f>SUM(H1868:H1869)</f>
        <v>1.81</v>
      </c>
    </row>
    <row r="1871" spans="1:10">
      <c r="A1871" s="398"/>
      <c r="B1871" s="431"/>
      <c r="C1871" s="989"/>
      <c r="D1871" s="989"/>
      <c r="E1871" s="989"/>
      <c r="F1871" s="990"/>
      <c r="G1871" s="990"/>
      <c r="H1871" s="990"/>
    </row>
    <row r="1872" spans="1:10" s="579" customFormat="1">
      <c r="A1872" s="601"/>
      <c r="B1872" s="431"/>
      <c r="C1872" s="739"/>
      <c r="D1872" s="739"/>
      <c r="E1872" s="739"/>
      <c r="F1872" s="740"/>
      <c r="G1872" s="740"/>
      <c r="H1872" s="740"/>
      <c r="I1872" s="400"/>
      <c r="J1872" s="404"/>
    </row>
    <row r="1873" spans="1:10" s="406" customFormat="1" ht="15">
      <c r="A1873" s="403" t="s">
        <v>2444</v>
      </c>
      <c r="B1873" s="961" t="s">
        <v>977</v>
      </c>
      <c r="C1873" s="961"/>
      <c r="D1873" s="961"/>
      <c r="E1873" s="961"/>
      <c r="F1873" s="961"/>
      <c r="H1873" s="403" t="s">
        <v>15</v>
      </c>
      <c r="I1873" s="407"/>
      <c r="J1873" s="408"/>
    </row>
    <row r="1874" spans="1:10">
      <c r="A1874" s="398"/>
      <c r="B1874" s="230" t="s">
        <v>977</v>
      </c>
      <c r="C1874" s="231" t="s">
        <v>15</v>
      </c>
      <c r="D1874" s="401">
        <v>1</v>
      </c>
      <c r="E1874" s="959">
        <f>Insumos!C404</f>
        <v>1.5743</v>
      </c>
      <c r="F1874" s="959"/>
      <c r="G1874" s="958">
        <f>ROUND(D1874*E1874,2)</f>
        <v>1.57</v>
      </c>
      <c r="H1874" s="958"/>
    </row>
    <row r="1875" spans="1:10">
      <c r="A1875" s="398"/>
      <c r="B1875" s="230" t="s">
        <v>513</v>
      </c>
      <c r="C1875" s="231" t="s">
        <v>112</v>
      </c>
      <c r="D1875" s="401">
        <v>0.15</v>
      </c>
      <c r="E1875" s="959">
        <f>Insumos!C405</f>
        <v>12.2759</v>
      </c>
      <c r="F1875" s="959"/>
      <c r="G1875" s="958">
        <f>ROUND(D1875*E1875,2)</f>
        <v>1.84</v>
      </c>
      <c r="H1875" s="958"/>
    </row>
    <row r="1876" spans="1:10">
      <c r="A1876" s="398"/>
      <c r="B1876" s="230" t="s">
        <v>514</v>
      </c>
      <c r="C1876" s="231" t="s">
        <v>112</v>
      </c>
      <c r="D1876" s="401">
        <v>0.15</v>
      </c>
      <c r="E1876" s="959">
        <f>Insumos!C406</f>
        <v>6.4064000000000005</v>
      </c>
      <c r="F1876" s="959"/>
      <c r="G1876" s="958">
        <f>ROUND(D1876*E1876,2)</f>
        <v>0.96</v>
      </c>
      <c r="H1876" s="958"/>
    </row>
    <row r="1877" spans="1:10">
      <c r="A1877" s="398"/>
      <c r="B1877" s="955" t="s">
        <v>536</v>
      </c>
      <c r="C1877" s="955"/>
      <c r="D1877" s="955"/>
      <c r="E1877" s="389"/>
      <c r="F1877" s="409"/>
      <c r="G1877" s="410"/>
      <c r="H1877" s="249">
        <f>SUM(G1874)</f>
        <v>1.57</v>
      </c>
    </row>
    <row r="1878" spans="1:10">
      <c r="A1878" s="398"/>
      <c r="B1878" s="955" t="s">
        <v>537</v>
      </c>
      <c r="C1878" s="955"/>
      <c r="D1878" s="955"/>
      <c r="E1878" s="389"/>
      <c r="F1878" s="409"/>
      <c r="G1878" s="410"/>
      <c r="H1878" s="249">
        <f>SUM(G1875:H1876)</f>
        <v>2.8</v>
      </c>
    </row>
    <row r="1879" spans="1:10">
      <c r="A1879" s="398"/>
      <c r="B1879" s="955" t="s">
        <v>1937</v>
      </c>
      <c r="C1879" s="955"/>
      <c r="D1879" s="955"/>
      <c r="E1879" s="389"/>
      <c r="F1879" s="409"/>
      <c r="G1879" s="410"/>
      <c r="H1879" s="249">
        <f>SUM(H1877:H1878)</f>
        <v>4.37</v>
      </c>
    </row>
    <row r="1880" spans="1:10">
      <c r="A1880" s="398"/>
      <c r="B1880" s="955" t="s">
        <v>538</v>
      </c>
      <c r="C1880" s="955"/>
      <c r="D1880" s="955"/>
      <c r="E1880" s="389"/>
      <c r="F1880" s="411" t="s">
        <v>539</v>
      </c>
      <c r="G1880" s="410"/>
      <c r="H1880" s="249">
        <f>ROUND(H1879*F1880,2)</f>
        <v>1.0900000000000001</v>
      </c>
    </row>
    <row r="1881" spans="1:10">
      <c r="A1881" s="398"/>
      <c r="B1881" s="956" t="s">
        <v>540</v>
      </c>
      <c r="C1881" s="956"/>
      <c r="D1881" s="956"/>
      <c r="E1881" s="740"/>
      <c r="F1881" s="768"/>
      <c r="G1881" s="769"/>
      <c r="H1881" s="770">
        <f>SUM(H1879:H1880)</f>
        <v>5.46</v>
      </c>
    </row>
    <row r="1882" spans="1:10" s="579" customFormat="1">
      <c r="A1882" s="601"/>
      <c r="B1882" s="780"/>
      <c r="C1882" s="780"/>
      <c r="D1882" s="780"/>
      <c r="E1882" s="740"/>
      <c r="F1882" s="768"/>
      <c r="G1882" s="769"/>
      <c r="H1882" s="770"/>
      <c r="I1882" s="400"/>
      <c r="J1882" s="404"/>
    </row>
    <row r="1883" spans="1:10" s="406" customFormat="1" ht="15">
      <c r="A1883" s="403" t="s">
        <v>2445</v>
      </c>
      <c r="B1883" s="961" t="s">
        <v>978</v>
      </c>
      <c r="C1883" s="961"/>
      <c r="D1883" s="961"/>
      <c r="E1883" s="961"/>
      <c r="F1883" s="961"/>
      <c r="G1883" s="402"/>
      <c r="H1883" s="403" t="s">
        <v>14</v>
      </c>
      <c r="I1883" s="407"/>
      <c r="J1883" s="408"/>
    </row>
    <row r="1884" spans="1:10">
      <c r="A1884" s="398"/>
      <c r="B1884" s="230" t="s">
        <v>979</v>
      </c>
      <c r="C1884" s="231" t="s">
        <v>14</v>
      </c>
      <c r="D1884" s="436">
        <v>1</v>
      </c>
      <c r="E1884" s="959">
        <f>Insumos!C407</f>
        <v>23.068500000000004</v>
      </c>
      <c r="F1884" s="959"/>
      <c r="G1884" s="958">
        <f>ROUND(D1884*E1884,2)</f>
        <v>23.07</v>
      </c>
      <c r="H1884" s="958"/>
    </row>
    <row r="1885" spans="1:10">
      <c r="A1885" s="398"/>
      <c r="B1885" s="230" t="s">
        <v>513</v>
      </c>
      <c r="C1885" s="231" t="s">
        <v>112</v>
      </c>
      <c r="D1885" s="436">
        <v>0.39920000000000017</v>
      </c>
      <c r="E1885" s="959">
        <f>Insumos!C408</f>
        <v>12.2759</v>
      </c>
      <c r="F1885" s="959"/>
      <c r="G1885" s="958">
        <f>ROUND(D1885*E1885,2)</f>
        <v>4.9000000000000004</v>
      </c>
      <c r="H1885" s="958"/>
    </row>
    <row r="1886" spans="1:10">
      <c r="A1886" s="398"/>
      <c r="B1886" s="230" t="s">
        <v>514</v>
      </c>
      <c r="C1886" s="231" t="s">
        <v>112</v>
      </c>
      <c r="D1886" s="436">
        <v>0.4</v>
      </c>
      <c r="E1886" s="959">
        <f>Insumos!C409</f>
        <v>6.4064000000000005</v>
      </c>
      <c r="F1886" s="959"/>
      <c r="G1886" s="958">
        <f>ROUND(D1886*E1886,2)</f>
        <v>2.56</v>
      </c>
      <c r="H1886" s="958"/>
    </row>
    <row r="1887" spans="1:10">
      <c r="A1887" s="398"/>
      <c r="B1887" s="955" t="s">
        <v>536</v>
      </c>
      <c r="C1887" s="955"/>
      <c r="D1887" s="955"/>
      <c r="E1887" s="389"/>
      <c r="F1887" s="409"/>
      <c r="G1887" s="410"/>
      <c r="H1887" s="249">
        <f>SUM(G1884)</f>
        <v>23.07</v>
      </c>
    </row>
    <row r="1888" spans="1:10">
      <c r="A1888" s="398"/>
      <c r="B1888" s="955" t="s">
        <v>537</v>
      </c>
      <c r="C1888" s="955"/>
      <c r="D1888" s="955"/>
      <c r="E1888" s="389"/>
      <c r="F1888" s="409"/>
      <c r="G1888" s="410"/>
      <c r="H1888" s="249">
        <f>SUM(G1885:H1886)</f>
        <v>7.4600000000000009</v>
      </c>
    </row>
    <row r="1889" spans="1:10">
      <c r="A1889" s="398"/>
      <c r="B1889" s="955" t="s">
        <v>1937</v>
      </c>
      <c r="C1889" s="955"/>
      <c r="D1889" s="955"/>
      <c r="E1889" s="389"/>
      <c r="F1889" s="409"/>
      <c r="G1889" s="410"/>
      <c r="H1889" s="249">
        <f>SUM(H1887:H1888)</f>
        <v>30.53</v>
      </c>
    </row>
    <row r="1890" spans="1:10">
      <c r="A1890" s="398"/>
      <c r="B1890" s="955" t="s">
        <v>538</v>
      </c>
      <c r="C1890" s="955"/>
      <c r="D1890" s="955"/>
      <c r="E1890" s="389"/>
      <c r="F1890" s="411" t="s">
        <v>539</v>
      </c>
      <c r="G1890" s="410"/>
      <c r="H1890" s="249">
        <f>ROUND(H1889*F1890,2)</f>
        <v>7.62</v>
      </c>
    </row>
    <row r="1891" spans="1:10">
      <c r="A1891" s="398"/>
      <c r="B1891" s="956" t="s">
        <v>540</v>
      </c>
      <c r="C1891" s="956"/>
      <c r="D1891" s="956"/>
      <c r="E1891" s="740"/>
      <c r="F1891" s="768"/>
      <c r="G1891" s="769"/>
      <c r="H1891" s="770">
        <f>SUM(H1889:H1890)</f>
        <v>38.15</v>
      </c>
    </row>
    <row r="1892" spans="1:10" s="579" customFormat="1">
      <c r="A1892" s="601"/>
      <c r="B1892" s="780"/>
      <c r="C1892" s="780"/>
      <c r="D1892" s="780"/>
      <c r="E1892" s="740"/>
      <c r="F1892" s="768"/>
      <c r="G1892" s="769"/>
      <c r="H1892" s="770"/>
      <c r="I1892" s="400"/>
      <c r="J1892" s="404"/>
    </row>
    <row r="1893" spans="1:10" s="406" customFormat="1" ht="15">
      <c r="A1893" s="403" t="s">
        <v>2446</v>
      </c>
      <c r="B1893" s="961" t="s">
        <v>1020</v>
      </c>
      <c r="C1893" s="961"/>
      <c r="D1893" s="961"/>
      <c r="E1893" s="961"/>
      <c r="F1893" s="961"/>
      <c r="G1893" s="402"/>
      <c r="H1893" s="403" t="s">
        <v>14</v>
      </c>
      <c r="I1893" s="407"/>
      <c r="J1893" s="408"/>
    </row>
    <row r="1894" spans="1:10">
      <c r="A1894" s="398"/>
      <c r="B1894" s="230" t="s">
        <v>1020</v>
      </c>
      <c r="C1894" s="231" t="s">
        <v>14</v>
      </c>
      <c r="D1894" s="401">
        <v>1</v>
      </c>
      <c r="E1894" s="959">
        <f>Insumos!C410</f>
        <v>8.6449999999999996</v>
      </c>
      <c r="F1894" s="959"/>
      <c r="G1894" s="958">
        <f>ROUND(D1894*E1894,2)</f>
        <v>8.65</v>
      </c>
      <c r="H1894" s="958"/>
    </row>
    <row r="1895" spans="1:10">
      <c r="A1895" s="398"/>
      <c r="B1895" s="230" t="s">
        <v>513</v>
      </c>
      <c r="C1895" s="231" t="s">
        <v>112</v>
      </c>
      <c r="D1895" s="401">
        <v>0.13</v>
      </c>
      <c r="E1895" s="959">
        <f>Insumos!C411</f>
        <v>12.2759</v>
      </c>
      <c r="F1895" s="959"/>
      <c r="G1895" s="958">
        <f>ROUND(D1895*E1895,2)</f>
        <v>1.6</v>
      </c>
      <c r="H1895" s="958"/>
    </row>
    <row r="1896" spans="1:10">
      <c r="A1896" s="398"/>
      <c r="B1896" s="230" t="s">
        <v>514</v>
      </c>
      <c r="C1896" s="231" t="s">
        <v>112</v>
      </c>
      <c r="D1896" s="401">
        <v>0.13</v>
      </c>
      <c r="E1896" s="959">
        <f>Insumos!C412</f>
        <v>6.4064000000000005</v>
      </c>
      <c r="F1896" s="959"/>
      <c r="G1896" s="958">
        <f>ROUND(D1896*E1896,2)</f>
        <v>0.83</v>
      </c>
      <c r="H1896" s="958"/>
    </row>
    <row r="1897" spans="1:10">
      <c r="A1897" s="398"/>
      <c r="B1897" s="955" t="s">
        <v>536</v>
      </c>
      <c r="C1897" s="955"/>
      <c r="D1897" s="955"/>
      <c r="E1897" s="389"/>
      <c r="F1897" s="409"/>
      <c r="G1897" s="410"/>
      <c r="H1897" s="249">
        <f>SUM(G1894)</f>
        <v>8.65</v>
      </c>
    </row>
    <row r="1898" spans="1:10">
      <c r="A1898" s="398"/>
      <c r="B1898" s="955" t="s">
        <v>537</v>
      </c>
      <c r="C1898" s="955"/>
      <c r="D1898" s="955"/>
      <c r="E1898" s="389"/>
      <c r="F1898" s="409"/>
      <c r="G1898" s="410"/>
      <c r="H1898" s="249">
        <f>SUM(G1895:H1896)</f>
        <v>2.4300000000000002</v>
      </c>
    </row>
    <row r="1899" spans="1:10">
      <c r="A1899" s="398"/>
      <c r="B1899" s="955" t="s">
        <v>1937</v>
      </c>
      <c r="C1899" s="955"/>
      <c r="D1899" s="955"/>
      <c r="E1899" s="389"/>
      <c r="F1899" s="409"/>
      <c r="G1899" s="410"/>
      <c r="H1899" s="249">
        <f>SUM(H1897:H1898)</f>
        <v>11.08</v>
      </c>
    </row>
    <row r="1900" spans="1:10">
      <c r="A1900" s="398"/>
      <c r="B1900" s="955" t="s">
        <v>538</v>
      </c>
      <c r="C1900" s="955"/>
      <c r="D1900" s="955"/>
      <c r="E1900" s="389"/>
      <c r="F1900" s="411" t="s">
        <v>539</v>
      </c>
      <c r="G1900" s="410"/>
      <c r="H1900" s="249">
        <f>ROUND(H1899*F1900,2)</f>
        <v>2.77</v>
      </c>
    </row>
    <row r="1901" spans="1:10">
      <c r="A1901" s="398"/>
      <c r="B1901" s="956" t="s">
        <v>540</v>
      </c>
      <c r="C1901" s="956"/>
      <c r="D1901" s="956"/>
      <c r="E1901" s="740"/>
      <c r="F1901" s="768"/>
      <c r="G1901" s="769"/>
      <c r="H1901" s="770">
        <f>SUM(H1899:H1900)</f>
        <v>13.85</v>
      </c>
    </row>
    <row r="1902" spans="1:10" s="579" customFormat="1">
      <c r="A1902" s="601"/>
      <c r="B1902" s="780"/>
      <c r="C1902" s="780"/>
      <c r="D1902" s="780"/>
      <c r="E1902" s="740"/>
      <c r="F1902" s="768"/>
      <c r="G1902" s="769"/>
      <c r="H1902" s="770"/>
      <c r="I1902" s="400"/>
      <c r="J1902" s="404"/>
    </row>
    <row r="1903" spans="1:10" s="581" customFormat="1" ht="14.25" customHeight="1">
      <c r="A1903" s="602" t="s">
        <v>2447</v>
      </c>
      <c r="B1903" s="961" t="s">
        <v>1020</v>
      </c>
      <c r="C1903" s="961"/>
      <c r="D1903" s="961"/>
      <c r="E1903" s="961"/>
      <c r="F1903" s="961"/>
      <c r="G1903" s="739"/>
      <c r="H1903" s="602" t="s">
        <v>14</v>
      </c>
      <c r="I1903" s="603"/>
      <c r="J1903" s="604"/>
    </row>
    <row r="1904" spans="1:10" s="579" customFormat="1">
      <c r="A1904" s="601"/>
      <c r="B1904" s="595" t="s">
        <v>1020</v>
      </c>
      <c r="C1904" s="596" t="s">
        <v>14</v>
      </c>
      <c r="D1904" s="401">
        <v>1</v>
      </c>
      <c r="E1904" s="959">
        <f>Insumos!C410</f>
        <v>8.6449999999999996</v>
      </c>
      <c r="F1904" s="959"/>
      <c r="G1904" s="958">
        <f>ROUND(D1904*E1904,2)</f>
        <v>8.65</v>
      </c>
      <c r="H1904" s="958"/>
      <c r="I1904" s="400"/>
      <c r="J1904" s="404"/>
    </row>
    <row r="1905" spans="1:10" s="579" customFormat="1">
      <c r="A1905" s="601"/>
      <c r="B1905" s="595" t="s">
        <v>513</v>
      </c>
      <c r="C1905" s="596" t="s">
        <v>112</v>
      </c>
      <c r="D1905" s="401">
        <v>0.13</v>
      </c>
      <c r="E1905" s="959">
        <f>Insumos!C411</f>
        <v>12.2759</v>
      </c>
      <c r="F1905" s="959"/>
      <c r="G1905" s="958">
        <f>ROUND(D1905*E1905,2)</f>
        <v>1.6</v>
      </c>
      <c r="H1905" s="958"/>
      <c r="I1905" s="400"/>
      <c r="J1905" s="404"/>
    </row>
    <row r="1906" spans="1:10" s="579" customFormat="1">
      <c r="A1906" s="601"/>
      <c r="B1906" s="595" t="s">
        <v>514</v>
      </c>
      <c r="C1906" s="596" t="s">
        <v>112</v>
      </c>
      <c r="D1906" s="401">
        <v>0.13</v>
      </c>
      <c r="E1906" s="959">
        <f>Insumos!C412</f>
        <v>6.4064000000000005</v>
      </c>
      <c r="F1906" s="959"/>
      <c r="G1906" s="958">
        <f>ROUND(D1906*E1906,2)</f>
        <v>0.83</v>
      </c>
      <c r="H1906" s="958"/>
      <c r="I1906" s="400"/>
      <c r="J1906" s="404"/>
    </row>
    <row r="1907" spans="1:10" s="579" customFormat="1">
      <c r="A1907" s="601"/>
      <c r="B1907" s="955" t="s">
        <v>536</v>
      </c>
      <c r="C1907" s="955"/>
      <c r="D1907" s="955"/>
      <c r="E1907" s="737"/>
      <c r="F1907" s="605"/>
      <c r="G1907" s="606"/>
      <c r="H1907" s="597">
        <f>SUM(G1904)</f>
        <v>8.65</v>
      </c>
      <c r="I1907" s="400"/>
      <c r="J1907" s="404"/>
    </row>
    <row r="1908" spans="1:10" s="579" customFormat="1">
      <c r="A1908" s="601"/>
      <c r="B1908" s="955" t="s">
        <v>537</v>
      </c>
      <c r="C1908" s="955"/>
      <c r="D1908" s="955"/>
      <c r="E1908" s="737"/>
      <c r="F1908" s="605"/>
      <c r="G1908" s="606"/>
      <c r="H1908" s="597">
        <f>SUM(G1905:H1906)</f>
        <v>2.4300000000000002</v>
      </c>
      <c r="I1908" s="400"/>
      <c r="J1908" s="404"/>
    </row>
    <row r="1909" spans="1:10" s="579" customFormat="1">
      <c r="A1909" s="601"/>
      <c r="B1909" s="955" t="s">
        <v>1937</v>
      </c>
      <c r="C1909" s="955"/>
      <c r="D1909" s="955"/>
      <c r="E1909" s="737"/>
      <c r="F1909" s="605"/>
      <c r="G1909" s="606"/>
      <c r="H1909" s="597">
        <f>SUM(H1907:H1908)</f>
        <v>11.08</v>
      </c>
      <c r="I1909" s="400"/>
      <c r="J1909" s="404"/>
    </row>
    <row r="1910" spans="1:10" s="579" customFormat="1">
      <c r="A1910" s="601"/>
      <c r="B1910" s="955" t="s">
        <v>538</v>
      </c>
      <c r="C1910" s="955"/>
      <c r="D1910" s="955"/>
      <c r="E1910" s="737"/>
      <c r="F1910" s="607" t="s">
        <v>539</v>
      </c>
      <c r="G1910" s="606"/>
      <c r="H1910" s="597">
        <f>ROUND(H1909*F1910,2)</f>
        <v>2.77</v>
      </c>
      <c r="I1910" s="400"/>
      <c r="J1910" s="404"/>
    </row>
    <row r="1911" spans="1:10" s="579" customFormat="1">
      <c r="A1911" s="601"/>
      <c r="B1911" s="956" t="s">
        <v>540</v>
      </c>
      <c r="C1911" s="956"/>
      <c r="D1911" s="956"/>
      <c r="E1911" s="740"/>
      <c r="F1911" s="768"/>
      <c r="G1911" s="769"/>
      <c r="H1911" s="770">
        <f>SUM(H1909:H1910)</f>
        <v>13.85</v>
      </c>
      <c r="I1911" s="400"/>
      <c r="J1911" s="404"/>
    </row>
    <row r="1912" spans="1:10" s="579" customFormat="1">
      <c r="A1912" s="601"/>
      <c r="B1912" s="738"/>
      <c r="C1912" s="738"/>
      <c r="D1912" s="738"/>
      <c r="E1912" s="737"/>
      <c r="F1912" s="605"/>
      <c r="G1912" s="606"/>
      <c r="H1912" s="597"/>
      <c r="I1912" s="400"/>
      <c r="J1912" s="404"/>
    </row>
    <row r="1913" spans="1:10" s="406" customFormat="1" ht="15">
      <c r="A1913" s="403" t="s">
        <v>2448</v>
      </c>
      <c r="B1913" s="961" t="s">
        <v>1021</v>
      </c>
      <c r="C1913" s="961"/>
      <c r="D1913" s="961"/>
      <c r="E1913" s="961"/>
      <c r="F1913" s="961"/>
      <c r="G1913" s="402"/>
      <c r="H1913" s="403" t="s">
        <v>14</v>
      </c>
      <c r="I1913" s="407"/>
      <c r="J1913" s="408"/>
    </row>
    <row r="1914" spans="1:10">
      <c r="A1914" s="398"/>
      <c r="B1914" s="230" t="s">
        <v>1021</v>
      </c>
      <c r="C1914" s="231" t="s">
        <v>14</v>
      </c>
      <c r="D1914" s="401">
        <v>1</v>
      </c>
      <c r="E1914" s="959">
        <f>Insumos!C413</f>
        <v>106.80670000000001</v>
      </c>
      <c r="F1914" s="959"/>
      <c r="G1914" s="958">
        <f>ROUND(D1914*E1914,2)</f>
        <v>106.81</v>
      </c>
      <c r="H1914" s="958"/>
    </row>
    <row r="1915" spans="1:10">
      <c r="A1915" s="398"/>
      <c r="B1915" s="230" t="s">
        <v>513</v>
      </c>
      <c r="C1915" s="231" t="s">
        <v>112</v>
      </c>
      <c r="D1915" s="401">
        <v>4</v>
      </c>
      <c r="E1915" s="959">
        <f>Insumos!C414</f>
        <v>12.2759</v>
      </c>
      <c r="F1915" s="959"/>
      <c r="G1915" s="958">
        <f>ROUND(D1915*E1915,2)</f>
        <v>49.1</v>
      </c>
      <c r="H1915" s="958"/>
    </row>
    <row r="1916" spans="1:10">
      <c r="A1916" s="398"/>
      <c r="B1916" s="955" t="s">
        <v>536</v>
      </c>
      <c r="C1916" s="955"/>
      <c r="D1916" s="955"/>
      <c r="E1916" s="389"/>
      <c r="F1916" s="409"/>
      <c r="G1916" s="410"/>
      <c r="H1916" s="249">
        <f>SUM(G1913)</f>
        <v>0</v>
      </c>
    </row>
    <row r="1917" spans="1:10">
      <c r="A1917" s="398"/>
      <c r="B1917" s="955" t="s">
        <v>537</v>
      </c>
      <c r="C1917" s="955"/>
      <c r="D1917" s="955"/>
      <c r="E1917" s="389"/>
      <c r="F1917" s="409"/>
      <c r="G1917" s="410"/>
      <c r="H1917" s="249">
        <f>SUM(G1914:H1915)</f>
        <v>155.91</v>
      </c>
    </row>
    <row r="1918" spans="1:10">
      <c r="A1918" s="398"/>
      <c r="B1918" s="955" t="s">
        <v>1937</v>
      </c>
      <c r="C1918" s="955"/>
      <c r="D1918" s="955"/>
      <c r="E1918" s="389"/>
      <c r="F1918" s="409"/>
      <c r="G1918" s="410"/>
      <c r="H1918" s="249">
        <f>SUM(H1916:H1917)</f>
        <v>155.91</v>
      </c>
    </row>
    <row r="1919" spans="1:10">
      <c r="A1919" s="398"/>
      <c r="B1919" s="955" t="s">
        <v>538</v>
      </c>
      <c r="C1919" s="955"/>
      <c r="D1919" s="955"/>
      <c r="E1919" s="389"/>
      <c r="F1919" s="411" t="s">
        <v>539</v>
      </c>
      <c r="G1919" s="410"/>
      <c r="H1919" s="249">
        <f>ROUND(H1918*F1919,2)</f>
        <v>38.92</v>
      </c>
    </row>
    <row r="1920" spans="1:10">
      <c r="A1920" s="398"/>
      <c r="B1920" s="956" t="s">
        <v>540</v>
      </c>
      <c r="C1920" s="956"/>
      <c r="D1920" s="956"/>
      <c r="E1920" s="740"/>
      <c r="F1920" s="768"/>
      <c r="G1920" s="769"/>
      <c r="H1920" s="770">
        <f>SUM(H1918:H1919)</f>
        <v>194.82999999999998</v>
      </c>
    </row>
    <row r="1921" spans="1:10" s="579" customFormat="1">
      <c r="A1921" s="601"/>
      <c r="B1921" s="780"/>
      <c r="C1921" s="780"/>
      <c r="D1921" s="780"/>
      <c r="E1921" s="740"/>
      <c r="F1921" s="768"/>
      <c r="G1921" s="769"/>
      <c r="H1921" s="770"/>
      <c r="I1921" s="400"/>
      <c r="J1921" s="404"/>
    </row>
    <row r="1922" spans="1:10" s="406" customFormat="1" ht="15">
      <c r="A1922" s="403" t="s">
        <v>2449</v>
      </c>
      <c r="B1922" s="961" t="s">
        <v>1156</v>
      </c>
      <c r="C1922" s="961"/>
      <c r="D1922" s="961"/>
      <c r="E1922" s="961"/>
      <c r="F1922" s="961"/>
      <c r="G1922" s="402"/>
      <c r="H1922" s="403" t="s">
        <v>14</v>
      </c>
      <c r="I1922" s="407"/>
      <c r="J1922" s="408"/>
    </row>
    <row r="1923" spans="1:10">
      <c r="A1923" s="398"/>
      <c r="B1923" s="230" t="s">
        <v>1066</v>
      </c>
      <c r="C1923" s="231" t="s">
        <v>14</v>
      </c>
      <c r="D1923" s="401">
        <v>1</v>
      </c>
      <c r="E1923" s="959">
        <f>Insumos!C415</f>
        <v>307.9076</v>
      </c>
      <c r="F1923" s="959"/>
      <c r="G1923" s="958">
        <f>ROUND(D1923*E1923,2)</f>
        <v>307.91000000000003</v>
      </c>
      <c r="H1923" s="958"/>
    </row>
    <row r="1924" spans="1:10">
      <c r="A1924" s="398"/>
      <c r="B1924" s="955" t="s">
        <v>536</v>
      </c>
      <c r="C1924" s="955"/>
      <c r="D1924" s="955"/>
      <c r="E1924" s="389"/>
      <c r="F1924" s="409"/>
      <c r="G1924" s="410"/>
      <c r="H1924" s="249">
        <f>SUM(G1923)</f>
        <v>307.91000000000003</v>
      </c>
    </row>
    <row r="1925" spans="1:10">
      <c r="A1925" s="398"/>
      <c r="B1925" s="955" t="s">
        <v>537</v>
      </c>
      <c r="C1925" s="955"/>
      <c r="D1925" s="955"/>
      <c r="E1925" s="389"/>
      <c r="F1925" s="409"/>
      <c r="G1925" s="410"/>
      <c r="H1925" s="249">
        <v>0</v>
      </c>
    </row>
    <row r="1926" spans="1:10">
      <c r="A1926" s="398"/>
      <c r="B1926" s="955" t="s">
        <v>1937</v>
      </c>
      <c r="C1926" s="955"/>
      <c r="D1926" s="955"/>
      <c r="E1926" s="389"/>
      <c r="F1926" s="409"/>
      <c r="G1926" s="410"/>
      <c r="H1926" s="249">
        <f>SUM(H1924:H1925)</f>
        <v>307.91000000000003</v>
      </c>
    </row>
    <row r="1927" spans="1:10">
      <c r="A1927" s="398"/>
      <c r="B1927" s="955" t="s">
        <v>538</v>
      </c>
      <c r="C1927" s="955"/>
      <c r="D1927" s="955"/>
      <c r="E1927" s="389"/>
      <c r="F1927" s="411" t="s">
        <v>539</v>
      </c>
      <c r="G1927" s="410"/>
      <c r="H1927" s="249">
        <f>ROUND(H1926*F1927,2)</f>
        <v>76.849999999999994</v>
      </c>
    </row>
    <row r="1928" spans="1:10">
      <c r="A1928" s="398"/>
      <c r="B1928" s="956" t="s">
        <v>540</v>
      </c>
      <c r="C1928" s="956"/>
      <c r="D1928" s="956"/>
      <c r="E1928" s="740"/>
      <c r="F1928" s="768"/>
      <c r="G1928" s="769"/>
      <c r="H1928" s="770">
        <f>SUM(H1926:H1927)</f>
        <v>384.76</v>
      </c>
    </row>
    <row r="1929" spans="1:10" s="579" customFormat="1">
      <c r="A1929" s="601"/>
      <c r="B1929" s="780"/>
      <c r="C1929" s="780"/>
      <c r="D1929" s="780"/>
      <c r="E1929" s="740"/>
      <c r="F1929" s="768"/>
      <c r="G1929" s="769"/>
      <c r="H1929" s="770"/>
      <c r="I1929" s="400"/>
      <c r="J1929" s="404"/>
    </row>
    <row r="1930" spans="1:10" s="406" customFormat="1" ht="15">
      <c r="A1930" s="403" t="s">
        <v>2450</v>
      </c>
      <c r="B1930" s="961" t="s">
        <v>1022</v>
      </c>
      <c r="C1930" s="961"/>
      <c r="D1930" s="961"/>
      <c r="E1930" s="961"/>
      <c r="F1930" s="961"/>
      <c r="G1930" s="402"/>
      <c r="H1930" s="403" t="s">
        <v>14</v>
      </c>
      <c r="I1930" s="407"/>
      <c r="J1930" s="408"/>
    </row>
    <row r="1931" spans="1:10">
      <c r="A1931" s="398"/>
      <c r="B1931" s="230" t="s">
        <v>1022</v>
      </c>
      <c r="C1931" s="231" t="s">
        <v>492</v>
      </c>
      <c r="D1931" s="401">
        <v>1</v>
      </c>
      <c r="E1931" s="959">
        <f>Insumos!C416</f>
        <v>306.81560000000002</v>
      </c>
      <c r="F1931" s="959"/>
      <c r="G1931" s="958">
        <f>ROUND(D1931*E1931,2)</f>
        <v>306.82</v>
      </c>
      <c r="H1931" s="958"/>
    </row>
    <row r="1932" spans="1:10">
      <c r="A1932" s="398"/>
      <c r="B1932" s="230" t="s">
        <v>1023</v>
      </c>
      <c r="C1932" s="231" t="s">
        <v>112</v>
      </c>
      <c r="D1932" s="401">
        <v>2.5</v>
      </c>
      <c r="E1932" s="959">
        <f>Insumos!C417</f>
        <v>15.815799999999999</v>
      </c>
      <c r="F1932" s="959"/>
      <c r="G1932" s="958">
        <f>ROUND(D1932*E1932,2)</f>
        <v>39.54</v>
      </c>
      <c r="H1932" s="958"/>
    </row>
    <row r="1933" spans="1:10">
      <c r="A1933" s="398"/>
      <c r="B1933" s="230" t="s">
        <v>512</v>
      </c>
      <c r="C1933" s="231" t="s">
        <v>112</v>
      </c>
      <c r="D1933" s="401">
        <v>2.5</v>
      </c>
      <c r="E1933" s="959">
        <f>Insumos!C418</f>
        <v>6.9888000000000003</v>
      </c>
      <c r="F1933" s="959"/>
      <c r="G1933" s="958">
        <f>ROUND(D1933*E1933,2)</f>
        <v>17.47</v>
      </c>
      <c r="H1933" s="958"/>
    </row>
    <row r="1934" spans="1:10">
      <c r="A1934" s="398"/>
      <c r="B1934" s="955" t="s">
        <v>536</v>
      </c>
      <c r="C1934" s="955"/>
      <c r="D1934" s="955"/>
      <c r="E1934" s="389"/>
      <c r="F1934" s="409"/>
      <c r="G1934" s="410"/>
      <c r="H1934" s="249">
        <f>SUM(G1931)</f>
        <v>306.82</v>
      </c>
    </row>
    <row r="1935" spans="1:10">
      <c r="A1935" s="398"/>
      <c r="B1935" s="955" t="s">
        <v>537</v>
      </c>
      <c r="C1935" s="955"/>
      <c r="D1935" s="955"/>
      <c r="E1935" s="389"/>
      <c r="F1935" s="409"/>
      <c r="G1935" s="410"/>
      <c r="H1935" s="249">
        <f>SUM(G1932:H1933)</f>
        <v>57.01</v>
      </c>
    </row>
    <row r="1936" spans="1:10">
      <c r="A1936" s="398"/>
      <c r="B1936" s="955" t="s">
        <v>1937</v>
      </c>
      <c r="C1936" s="955"/>
      <c r="D1936" s="955"/>
      <c r="E1936" s="389"/>
      <c r="F1936" s="409"/>
      <c r="G1936" s="410"/>
      <c r="H1936" s="249">
        <f>SUM(H1934:H1935)</f>
        <v>363.83</v>
      </c>
    </row>
    <row r="1937" spans="1:10">
      <c r="A1937" s="398"/>
      <c r="B1937" s="955" t="s">
        <v>538</v>
      </c>
      <c r="C1937" s="955"/>
      <c r="D1937" s="955"/>
      <c r="E1937" s="389"/>
      <c r="F1937" s="411" t="s">
        <v>539</v>
      </c>
      <c r="G1937" s="410"/>
      <c r="H1937" s="249">
        <f>ROUND(H1936*F1937,2)</f>
        <v>90.81</v>
      </c>
    </row>
    <row r="1938" spans="1:10">
      <c r="A1938" s="398"/>
      <c r="B1938" s="956" t="s">
        <v>540</v>
      </c>
      <c r="C1938" s="956"/>
      <c r="D1938" s="956"/>
      <c r="E1938" s="740"/>
      <c r="F1938" s="768"/>
      <c r="G1938" s="769"/>
      <c r="H1938" s="770">
        <f>SUM(H1936:H1937)</f>
        <v>454.64</v>
      </c>
    </row>
    <row r="1939" spans="1:10" s="579" customFormat="1">
      <c r="A1939" s="601"/>
      <c r="B1939" s="780"/>
      <c r="C1939" s="780"/>
      <c r="D1939" s="780"/>
      <c r="E1939" s="740"/>
      <c r="F1939" s="768"/>
      <c r="G1939" s="769"/>
      <c r="H1939" s="770"/>
      <c r="I1939" s="400"/>
      <c r="J1939" s="404"/>
    </row>
    <row r="1940" spans="1:10" s="406" customFormat="1" ht="32.1" customHeight="1">
      <c r="A1940" s="403" t="s">
        <v>2451</v>
      </c>
      <c r="B1940" s="961" t="s">
        <v>481</v>
      </c>
      <c r="C1940" s="961"/>
      <c r="D1940" s="961"/>
      <c r="E1940" s="961"/>
      <c r="F1940" s="961"/>
      <c r="G1940" s="402"/>
      <c r="H1940" s="403" t="s">
        <v>14</v>
      </c>
      <c r="I1940" s="407"/>
      <c r="J1940" s="408"/>
    </row>
    <row r="1941" spans="1:10">
      <c r="A1941" s="398"/>
      <c r="B1941" s="230" t="s">
        <v>1024</v>
      </c>
      <c r="C1941" s="231" t="s">
        <v>14</v>
      </c>
      <c r="D1941" s="401">
        <v>1</v>
      </c>
      <c r="E1941" s="959">
        <f>Insumos!C419</f>
        <v>24.997699999999998</v>
      </c>
      <c r="F1941" s="959"/>
      <c r="G1941" s="958">
        <f>ROUND(D1941*E1941,2)</f>
        <v>25</v>
      </c>
      <c r="H1941" s="958"/>
    </row>
    <row r="1942" spans="1:10">
      <c r="A1942" s="398"/>
      <c r="B1942" s="230" t="s">
        <v>513</v>
      </c>
      <c r="C1942" s="231" t="s">
        <v>112</v>
      </c>
      <c r="D1942" s="401">
        <v>0.37</v>
      </c>
      <c r="E1942" s="959">
        <f>Insumos!C420</f>
        <v>12.2759</v>
      </c>
      <c r="F1942" s="959"/>
      <c r="G1942" s="958">
        <f>ROUND(D1942*E1942,2)</f>
        <v>4.54</v>
      </c>
      <c r="H1942" s="958"/>
    </row>
    <row r="1943" spans="1:10">
      <c r="A1943" s="398"/>
      <c r="B1943" s="230" t="s">
        <v>514</v>
      </c>
      <c r="C1943" s="231" t="s">
        <v>112</v>
      </c>
      <c r="D1943" s="401">
        <v>0.37</v>
      </c>
      <c r="E1943" s="959">
        <f>Insumos!C421</f>
        <v>6.4064000000000005</v>
      </c>
      <c r="F1943" s="959"/>
      <c r="G1943" s="958">
        <f>ROUND(D1943*E1943,2)</f>
        <v>2.37</v>
      </c>
      <c r="H1943" s="958"/>
    </row>
    <row r="1944" spans="1:10">
      <c r="A1944" s="398"/>
      <c r="B1944" s="955" t="s">
        <v>536</v>
      </c>
      <c r="C1944" s="955"/>
      <c r="D1944" s="955"/>
      <c r="E1944" s="389"/>
      <c r="F1944" s="409"/>
      <c r="G1944" s="410"/>
      <c r="H1944" s="249">
        <f>SUM(G1941)</f>
        <v>25</v>
      </c>
    </row>
    <row r="1945" spans="1:10">
      <c r="A1945" s="398"/>
      <c r="B1945" s="955" t="s">
        <v>537</v>
      </c>
      <c r="C1945" s="955"/>
      <c r="D1945" s="955"/>
      <c r="E1945" s="389"/>
      <c r="F1945" s="409"/>
      <c r="G1945" s="410"/>
      <c r="H1945" s="249">
        <f>SUM(G1942:H1943)</f>
        <v>6.91</v>
      </c>
    </row>
    <row r="1946" spans="1:10">
      <c r="A1946" s="398"/>
      <c r="B1946" s="955" t="s">
        <v>1937</v>
      </c>
      <c r="C1946" s="955"/>
      <c r="D1946" s="955"/>
      <c r="E1946" s="389"/>
      <c r="F1946" s="409"/>
      <c r="G1946" s="410"/>
      <c r="H1946" s="249">
        <f>SUM(H1944:H1945)</f>
        <v>31.91</v>
      </c>
    </row>
    <row r="1947" spans="1:10">
      <c r="A1947" s="398"/>
      <c r="B1947" s="955" t="s">
        <v>538</v>
      </c>
      <c r="C1947" s="955"/>
      <c r="D1947" s="955"/>
      <c r="E1947" s="389"/>
      <c r="F1947" s="411" t="s">
        <v>539</v>
      </c>
      <c r="G1947" s="410"/>
      <c r="H1947" s="249">
        <f>ROUND(H1946*F1947,2)</f>
        <v>7.96</v>
      </c>
    </row>
    <row r="1948" spans="1:10">
      <c r="A1948" s="398"/>
      <c r="B1948" s="956" t="s">
        <v>540</v>
      </c>
      <c r="C1948" s="956"/>
      <c r="D1948" s="956"/>
      <c r="E1948" s="740"/>
      <c r="F1948" s="768"/>
      <c r="G1948" s="769"/>
      <c r="H1948" s="770">
        <f>SUM(H1946:H1947)</f>
        <v>39.869999999999997</v>
      </c>
    </row>
    <row r="1949" spans="1:10" s="579" customFormat="1">
      <c r="A1949" s="601"/>
      <c r="B1949" s="780"/>
      <c r="C1949" s="780"/>
      <c r="D1949" s="780"/>
      <c r="E1949" s="740"/>
      <c r="F1949" s="768"/>
      <c r="G1949" s="769"/>
      <c r="H1949" s="770"/>
      <c r="I1949" s="400"/>
      <c r="J1949" s="404"/>
    </row>
    <row r="1950" spans="1:10" s="167" customFormat="1">
      <c r="A1950" s="785" t="s">
        <v>1250</v>
      </c>
      <c r="B1950" s="962" t="s">
        <v>1470</v>
      </c>
      <c r="C1950" s="962"/>
      <c r="D1950" s="962"/>
      <c r="E1950" s="962"/>
      <c r="F1950" s="962"/>
      <c r="G1950" s="788"/>
      <c r="H1950" s="789"/>
      <c r="I1950" s="326"/>
      <c r="J1950" s="344"/>
    </row>
    <row r="1951" spans="1:10" ht="15">
      <c r="A1951" s="403" t="s">
        <v>2452</v>
      </c>
      <c r="B1951" s="961" t="s">
        <v>948</v>
      </c>
      <c r="C1951" s="961"/>
      <c r="D1951" s="961"/>
      <c r="E1951" s="961"/>
      <c r="F1951" s="961"/>
      <c r="G1951" s="406"/>
      <c r="H1951" s="403" t="s">
        <v>16</v>
      </c>
    </row>
    <row r="1952" spans="1:10" s="406" customFormat="1" ht="15">
      <c r="A1952" s="398"/>
      <c r="B1952" s="230" t="s">
        <v>949</v>
      </c>
      <c r="C1952" s="231" t="s">
        <v>16</v>
      </c>
      <c r="D1952" s="401">
        <v>1</v>
      </c>
      <c r="E1952" s="959">
        <f>Insumos!C240</f>
        <v>10.01</v>
      </c>
      <c r="F1952" s="959"/>
      <c r="G1952" s="958">
        <f t="shared" ref="G1952:G1954" si="71">ROUND(D1952*E1952,2)</f>
        <v>10.01</v>
      </c>
      <c r="H1952" s="958"/>
      <c r="I1952" s="407"/>
      <c r="J1952" s="408"/>
    </row>
    <row r="1953" spans="1:10">
      <c r="A1953" s="398"/>
      <c r="B1953" s="230" t="s">
        <v>513</v>
      </c>
      <c r="C1953" s="231" t="s">
        <v>112</v>
      </c>
      <c r="D1953" s="401">
        <v>0.90669999999999995</v>
      </c>
      <c r="E1953" s="959">
        <f>Insumos!$C$241</f>
        <v>12.2759</v>
      </c>
      <c r="F1953" s="959"/>
      <c r="G1953" s="958">
        <f t="shared" si="71"/>
        <v>11.13</v>
      </c>
      <c r="H1953" s="958"/>
    </row>
    <row r="1954" spans="1:10">
      <c r="A1954" s="398"/>
      <c r="B1954" s="230" t="s">
        <v>514</v>
      </c>
      <c r="C1954" s="231" t="s">
        <v>112</v>
      </c>
      <c r="D1954" s="401">
        <v>0.90669999999999995</v>
      </c>
      <c r="E1954" s="959">
        <f>Insumos!$C$242</f>
        <v>6.4064000000000005</v>
      </c>
      <c r="F1954" s="959"/>
      <c r="G1954" s="958">
        <f t="shared" si="71"/>
        <v>5.81</v>
      </c>
      <c r="H1954" s="958"/>
    </row>
    <row r="1955" spans="1:10">
      <c r="A1955" s="398"/>
      <c r="B1955" s="955" t="s">
        <v>536</v>
      </c>
      <c r="C1955" s="955"/>
      <c r="D1955" s="955"/>
      <c r="E1955" s="389"/>
      <c r="F1955" s="409"/>
      <c r="G1955" s="410"/>
      <c r="H1955" s="249">
        <f>SUM(G1952)</f>
        <v>10.01</v>
      </c>
    </row>
    <row r="1956" spans="1:10">
      <c r="A1956" s="398"/>
      <c r="B1956" s="955" t="s">
        <v>537</v>
      </c>
      <c r="C1956" s="955"/>
      <c r="D1956" s="955"/>
      <c r="E1956" s="389"/>
      <c r="F1956" s="409"/>
      <c r="G1956" s="410"/>
      <c r="H1956" s="249">
        <f>SUM(G1953:H1954)</f>
        <v>16.940000000000001</v>
      </c>
    </row>
    <row r="1957" spans="1:10">
      <c r="A1957" s="398"/>
      <c r="B1957" s="955" t="s">
        <v>1937</v>
      </c>
      <c r="C1957" s="955"/>
      <c r="D1957" s="955"/>
      <c r="E1957" s="389"/>
      <c r="F1957" s="409"/>
      <c r="G1957" s="410"/>
      <c r="H1957" s="249">
        <f>SUM(H1955:H1956)</f>
        <v>26.950000000000003</v>
      </c>
    </row>
    <row r="1958" spans="1:10">
      <c r="A1958" s="398"/>
      <c r="B1958" s="955" t="s">
        <v>538</v>
      </c>
      <c r="C1958" s="955"/>
      <c r="D1958" s="955"/>
      <c r="E1958" s="389"/>
      <c r="F1958" s="411" t="s">
        <v>539</v>
      </c>
      <c r="G1958" s="410"/>
      <c r="H1958" s="249">
        <f>H1957*0.2496</f>
        <v>6.7267200000000003</v>
      </c>
    </row>
    <row r="1959" spans="1:10">
      <c r="A1959" s="398"/>
      <c r="B1959" s="956" t="s">
        <v>540</v>
      </c>
      <c r="C1959" s="956"/>
      <c r="D1959" s="956"/>
      <c r="E1959" s="740"/>
      <c r="F1959" s="768"/>
      <c r="G1959" s="769"/>
      <c r="H1959" s="770">
        <f>SUM(H1957:H1958)</f>
        <v>33.676720000000003</v>
      </c>
    </row>
    <row r="1960" spans="1:10" s="579" customFormat="1">
      <c r="A1960" s="601"/>
      <c r="B1960" s="780"/>
      <c r="C1960" s="780"/>
      <c r="D1960" s="780"/>
      <c r="E1960" s="740"/>
      <c r="F1960" s="768"/>
      <c r="G1960" s="769"/>
      <c r="H1960" s="770"/>
      <c r="I1960" s="400"/>
      <c r="J1960" s="404"/>
    </row>
    <row r="1961" spans="1:10" ht="15">
      <c r="A1961" s="403" t="s">
        <v>2453</v>
      </c>
      <c r="B1961" s="961" t="s">
        <v>1533</v>
      </c>
      <c r="C1961" s="961"/>
      <c r="D1961" s="961"/>
      <c r="E1961" s="961"/>
      <c r="F1961" s="961"/>
      <c r="G1961" s="406"/>
      <c r="H1961" s="403" t="s">
        <v>553</v>
      </c>
    </row>
    <row r="1962" spans="1:10">
      <c r="A1962" s="398"/>
      <c r="B1962" s="230" t="s">
        <v>1520</v>
      </c>
      <c r="C1962" s="231" t="s">
        <v>553</v>
      </c>
      <c r="D1962" s="401">
        <v>1</v>
      </c>
      <c r="E1962" s="959">
        <f>Insumos!C1245</f>
        <v>2.0839000000000003</v>
      </c>
      <c r="F1962" s="959"/>
      <c r="G1962" s="958">
        <f t="shared" ref="G1962:G1964" si="72">ROUND(D1962*E1962,2)</f>
        <v>2.08</v>
      </c>
      <c r="H1962" s="958"/>
    </row>
    <row r="1963" spans="1:10">
      <c r="A1963" s="398"/>
      <c r="B1963" s="230" t="s">
        <v>513</v>
      </c>
      <c r="C1963" s="231" t="s">
        <v>112</v>
      </c>
      <c r="D1963" s="401">
        <v>0.06</v>
      </c>
      <c r="E1963" s="959">
        <f>Insumos!$C$241</f>
        <v>12.2759</v>
      </c>
      <c r="F1963" s="959"/>
      <c r="G1963" s="958">
        <f t="shared" si="72"/>
        <v>0.74</v>
      </c>
      <c r="H1963" s="958"/>
    </row>
    <row r="1964" spans="1:10">
      <c r="A1964" s="398"/>
      <c r="B1964" s="230" t="s">
        <v>514</v>
      </c>
      <c r="C1964" s="231" t="s">
        <v>112</v>
      </c>
      <c r="D1964" s="401">
        <v>0.06</v>
      </c>
      <c r="E1964" s="959">
        <f>Insumos!$C$242</f>
        <v>6.4064000000000005</v>
      </c>
      <c r="F1964" s="959"/>
      <c r="G1964" s="958">
        <f t="shared" si="72"/>
        <v>0.38</v>
      </c>
      <c r="H1964" s="958"/>
    </row>
    <row r="1965" spans="1:10" s="406" customFormat="1" ht="15">
      <c r="A1965" s="398"/>
      <c r="B1965" s="955" t="s">
        <v>536</v>
      </c>
      <c r="C1965" s="955"/>
      <c r="D1965" s="955"/>
      <c r="E1965" s="389"/>
      <c r="F1965" s="409"/>
      <c r="G1965" s="410"/>
      <c r="H1965" s="249">
        <f>SUM(G1962)</f>
        <v>2.08</v>
      </c>
      <c r="I1965" s="407"/>
      <c r="J1965" s="408"/>
    </row>
    <row r="1966" spans="1:10">
      <c r="A1966" s="398"/>
      <c r="B1966" s="955" t="s">
        <v>537</v>
      </c>
      <c r="C1966" s="955"/>
      <c r="D1966" s="955"/>
      <c r="E1966" s="389"/>
      <c r="F1966" s="409"/>
      <c r="G1966" s="410"/>
      <c r="H1966" s="249">
        <f>SUM(G1963:H1964)</f>
        <v>1.1200000000000001</v>
      </c>
    </row>
    <row r="1967" spans="1:10">
      <c r="A1967" s="398"/>
      <c r="B1967" s="955" t="s">
        <v>1937</v>
      </c>
      <c r="C1967" s="955"/>
      <c r="D1967" s="955"/>
      <c r="E1967" s="389"/>
      <c r="F1967" s="409"/>
      <c r="G1967" s="410"/>
      <c r="H1967" s="249">
        <f>SUM(H1965:H1966)</f>
        <v>3.2</v>
      </c>
    </row>
    <row r="1968" spans="1:10">
      <c r="A1968" s="398"/>
      <c r="B1968" s="955" t="s">
        <v>538</v>
      </c>
      <c r="C1968" s="955"/>
      <c r="D1968" s="955"/>
      <c r="E1968" s="389"/>
      <c r="F1968" s="411" t="s">
        <v>539</v>
      </c>
      <c r="G1968" s="410"/>
      <c r="H1968" s="249">
        <f>H1967*0.2496</f>
        <v>0.79871999999999999</v>
      </c>
    </row>
    <row r="1969" spans="1:10">
      <c r="A1969" s="398"/>
      <c r="B1969" s="956" t="s">
        <v>540</v>
      </c>
      <c r="C1969" s="956"/>
      <c r="D1969" s="956"/>
      <c r="E1969" s="740"/>
      <c r="F1969" s="768"/>
      <c r="G1969" s="769"/>
      <c r="H1969" s="770">
        <f>SUM(H1967:H1968)</f>
        <v>3.9987200000000001</v>
      </c>
    </row>
    <row r="1970" spans="1:10" s="579" customFormat="1">
      <c r="A1970" s="601"/>
      <c r="B1970" s="780"/>
      <c r="C1970" s="780"/>
      <c r="D1970" s="780"/>
      <c r="E1970" s="740"/>
      <c r="F1970" s="768"/>
      <c r="G1970" s="769"/>
      <c r="H1970" s="770"/>
      <c r="I1970" s="400"/>
      <c r="J1970" s="404"/>
    </row>
    <row r="1971" spans="1:10" ht="15">
      <c r="A1971" s="403" t="s">
        <v>2454</v>
      </c>
      <c r="B1971" s="961" t="s">
        <v>1534</v>
      </c>
      <c r="C1971" s="961"/>
      <c r="D1971" s="961"/>
      <c r="E1971" s="961"/>
      <c r="F1971" s="961"/>
      <c r="G1971" s="406"/>
      <c r="H1971" s="403" t="s">
        <v>553</v>
      </c>
    </row>
    <row r="1972" spans="1:10">
      <c r="A1972" s="398"/>
      <c r="B1972" s="230" t="s">
        <v>1521</v>
      </c>
      <c r="C1972" s="231" t="s">
        <v>553</v>
      </c>
      <c r="D1972" s="401">
        <v>1</v>
      </c>
      <c r="E1972" s="959">
        <f>Insumos!C1246</f>
        <v>7.6075999999999997</v>
      </c>
      <c r="F1972" s="959"/>
      <c r="G1972" s="958">
        <f t="shared" ref="G1972:G1974" si="73">ROUND(D1972*E1972,2)</f>
        <v>7.61</v>
      </c>
      <c r="H1972" s="958"/>
    </row>
    <row r="1973" spans="1:10">
      <c r="A1973" s="398"/>
      <c r="B1973" s="230" t="s">
        <v>513</v>
      </c>
      <c r="C1973" s="231" t="s">
        <v>112</v>
      </c>
      <c r="D1973" s="401">
        <v>0.25</v>
      </c>
      <c r="E1973" s="959">
        <f>Insumos!$C$241</f>
        <v>12.2759</v>
      </c>
      <c r="F1973" s="959"/>
      <c r="G1973" s="958">
        <f t="shared" si="73"/>
        <v>3.07</v>
      </c>
      <c r="H1973" s="958"/>
    </row>
    <row r="1974" spans="1:10" s="406" customFormat="1" ht="15">
      <c r="A1974" s="398"/>
      <c r="B1974" s="230" t="s">
        <v>514</v>
      </c>
      <c r="C1974" s="231" t="s">
        <v>112</v>
      </c>
      <c r="D1974" s="401">
        <v>0.25</v>
      </c>
      <c r="E1974" s="959">
        <f>Insumos!$C$242</f>
        <v>6.4064000000000005</v>
      </c>
      <c r="F1974" s="959"/>
      <c r="G1974" s="958">
        <f t="shared" si="73"/>
        <v>1.6</v>
      </c>
      <c r="H1974" s="958"/>
      <c r="I1974" s="407"/>
      <c r="J1974" s="408"/>
    </row>
    <row r="1975" spans="1:10">
      <c r="A1975" s="398"/>
      <c r="B1975" s="955" t="s">
        <v>536</v>
      </c>
      <c r="C1975" s="955"/>
      <c r="D1975" s="955"/>
      <c r="E1975" s="389"/>
      <c r="F1975" s="409"/>
      <c r="G1975" s="410"/>
      <c r="H1975" s="249">
        <f>SUM(G1972)</f>
        <v>7.61</v>
      </c>
    </row>
    <row r="1976" spans="1:10">
      <c r="A1976" s="398"/>
      <c r="B1976" s="955" t="s">
        <v>537</v>
      </c>
      <c r="C1976" s="955"/>
      <c r="D1976" s="955"/>
      <c r="E1976" s="389"/>
      <c r="F1976" s="409"/>
      <c r="G1976" s="410"/>
      <c r="H1976" s="249">
        <f>SUM(G1973:H1974)</f>
        <v>4.67</v>
      </c>
    </row>
    <row r="1977" spans="1:10">
      <c r="A1977" s="398"/>
      <c r="B1977" s="955" t="s">
        <v>1937</v>
      </c>
      <c r="C1977" s="955"/>
      <c r="D1977" s="955"/>
      <c r="E1977" s="389"/>
      <c r="F1977" s="409"/>
      <c r="G1977" s="410"/>
      <c r="H1977" s="249">
        <f>SUM(H1975:H1976)</f>
        <v>12.280000000000001</v>
      </c>
    </row>
    <row r="1978" spans="1:10">
      <c r="A1978" s="398"/>
      <c r="B1978" s="955" t="s">
        <v>538</v>
      </c>
      <c r="C1978" s="955"/>
      <c r="D1978" s="955"/>
      <c r="E1978" s="389"/>
      <c r="F1978" s="411" t="s">
        <v>539</v>
      </c>
      <c r="G1978" s="410"/>
      <c r="H1978" s="249">
        <f>H1977*0.2496</f>
        <v>3.0650880000000003</v>
      </c>
    </row>
    <row r="1979" spans="1:10">
      <c r="A1979" s="398"/>
      <c r="B1979" s="956" t="s">
        <v>540</v>
      </c>
      <c r="C1979" s="956"/>
      <c r="D1979" s="956"/>
      <c r="E1979" s="740"/>
      <c r="F1979" s="768"/>
      <c r="G1979" s="769"/>
      <c r="H1979" s="770">
        <f>SUM(H1977:H1978)</f>
        <v>15.345088000000001</v>
      </c>
    </row>
    <row r="1980" spans="1:10" s="579" customFormat="1">
      <c r="A1980" s="601"/>
      <c r="B1980" s="780"/>
      <c r="C1980" s="780"/>
      <c r="D1980" s="780"/>
      <c r="E1980" s="740"/>
      <c r="F1980" s="768"/>
      <c r="G1980" s="769"/>
      <c r="H1980" s="770"/>
      <c r="I1980" s="400"/>
      <c r="J1980" s="404"/>
    </row>
    <row r="1981" spans="1:10" ht="15">
      <c r="A1981" s="403" t="s">
        <v>2455</v>
      </c>
      <c r="B1981" s="961" t="s">
        <v>1025</v>
      </c>
      <c r="C1981" s="961"/>
      <c r="D1981" s="961"/>
      <c r="E1981" s="961"/>
      <c r="F1981" s="961"/>
      <c r="G1981" s="406"/>
      <c r="H1981" s="403" t="s">
        <v>15</v>
      </c>
    </row>
    <row r="1982" spans="1:10" ht="22.5">
      <c r="A1982" s="398"/>
      <c r="B1982" s="230" t="s">
        <v>1026</v>
      </c>
      <c r="C1982" s="231" t="s">
        <v>15</v>
      </c>
      <c r="D1982" s="401">
        <v>1</v>
      </c>
      <c r="E1982" s="959">
        <f>Insumos!C1247</f>
        <v>6.4701000000000004</v>
      </c>
      <c r="F1982" s="959"/>
      <c r="G1982" s="958">
        <f t="shared" ref="G1982:G1984" si="74">ROUND(D1982*E1982,2)</f>
        <v>6.47</v>
      </c>
      <c r="H1982" s="958"/>
    </row>
    <row r="1983" spans="1:10">
      <c r="A1983" s="398"/>
      <c r="B1983" s="230" t="s">
        <v>513</v>
      </c>
      <c r="C1983" s="231" t="s">
        <v>112</v>
      </c>
      <c r="D1983" s="401">
        <v>0.09</v>
      </c>
      <c r="E1983" s="959">
        <f>Insumos!$C$241</f>
        <v>12.2759</v>
      </c>
      <c r="F1983" s="959"/>
      <c r="G1983" s="958">
        <f t="shared" si="74"/>
        <v>1.1000000000000001</v>
      </c>
      <c r="H1983" s="958"/>
    </row>
    <row r="1984" spans="1:10">
      <c r="A1984" s="398"/>
      <c r="B1984" s="230" t="s">
        <v>535</v>
      </c>
      <c r="C1984" s="231" t="s">
        <v>112</v>
      </c>
      <c r="D1984" s="401">
        <v>0.08</v>
      </c>
      <c r="E1984" s="959">
        <f>Insumos!$E$1241</f>
        <v>6.4064000000000005</v>
      </c>
      <c r="F1984" s="959"/>
      <c r="G1984" s="958">
        <f t="shared" si="74"/>
        <v>0.51</v>
      </c>
      <c r="H1984" s="958"/>
    </row>
    <row r="1985" spans="1:10" s="406" customFormat="1" ht="15">
      <c r="A1985" s="398"/>
      <c r="B1985" s="955" t="s">
        <v>536</v>
      </c>
      <c r="C1985" s="955"/>
      <c r="D1985" s="955"/>
      <c r="E1985" s="389"/>
      <c r="F1985" s="409"/>
      <c r="G1985" s="410"/>
      <c r="H1985" s="249">
        <f>SUM(G1982)</f>
        <v>6.47</v>
      </c>
      <c r="I1985" s="407"/>
      <c r="J1985" s="408"/>
    </row>
    <row r="1986" spans="1:10">
      <c r="A1986" s="398"/>
      <c r="B1986" s="955" t="s">
        <v>537</v>
      </c>
      <c r="C1986" s="955"/>
      <c r="D1986" s="955"/>
      <c r="E1986" s="389"/>
      <c r="F1986" s="409"/>
      <c r="G1986" s="410"/>
      <c r="H1986" s="249">
        <f>SUM(G1983:H1984)</f>
        <v>1.61</v>
      </c>
    </row>
    <row r="1987" spans="1:10">
      <c r="A1987" s="398"/>
      <c r="B1987" s="955" t="s">
        <v>1937</v>
      </c>
      <c r="C1987" s="955"/>
      <c r="D1987" s="955"/>
      <c r="E1987" s="389"/>
      <c r="F1987" s="409"/>
      <c r="G1987" s="410"/>
      <c r="H1987" s="249">
        <f>SUM(H1985:H1986)</f>
        <v>8.08</v>
      </c>
    </row>
    <row r="1988" spans="1:10">
      <c r="A1988" s="398"/>
      <c r="B1988" s="955" t="s">
        <v>538</v>
      </c>
      <c r="C1988" s="955"/>
      <c r="D1988" s="955"/>
      <c r="E1988" s="389"/>
      <c r="F1988" s="411" t="s">
        <v>539</v>
      </c>
      <c r="G1988" s="410"/>
      <c r="H1988" s="249">
        <f>H1987*0.2496</f>
        <v>2.0167679999999999</v>
      </c>
    </row>
    <row r="1989" spans="1:10">
      <c r="A1989" s="398"/>
      <c r="B1989" s="956" t="s">
        <v>540</v>
      </c>
      <c r="C1989" s="956"/>
      <c r="D1989" s="956"/>
      <c r="E1989" s="740"/>
      <c r="F1989" s="768"/>
      <c r="G1989" s="769"/>
      <c r="H1989" s="770">
        <f>SUM(H1987:H1988)</f>
        <v>10.096768000000001</v>
      </c>
    </row>
    <row r="1990" spans="1:10" s="579" customFormat="1">
      <c r="A1990" s="601"/>
      <c r="B1990" s="780"/>
      <c r="C1990" s="780"/>
      <c r="D1990" s="780"/>
      <c r="E1990" s="740"/>
      <c r="F1990" s="768"/>
      <c r="G1990" s="769"/>
      <c r="H1990" s="770"/>
      <c r="I1990" s="400"/>
      <c r="J1990" s="404"/>
    </row>
    <row r="1991" spans="1:10">
      <c r="A1991" s="403" t="s">
        <v>2456</v>
      </c>
      <c r="B1991" s="961" t="s">
        <v>1535</v>
      </c>
      <c r="C1991" s="961"/>
      <c r="D1991" s="961"/>
      <c r="E1991" s="961"/>
      <c r="F1991" s="961"/>
      <c r="G1991" s="402"/>
      <c r="H1991" s="403" t="s">
        <v>15</v>
      </c>
    </row>
    <row r="1992" spans="1:10">
      <c r="A1992" s="398"/>
      <c r="B1992" s="230" t="s">
        <v>1522</v>
      </c>
      <c r="C1992" s="231" t="s">
        <v>15</v>
      </c>
      <c r="D1992" s="401">
        <v>1</v>
      </c>
      <c r="E1992" s="959">
        <f>Insumos!C1248</f>
        <v>13.1313</v>
      </c>
      <c r="F1992" s="959"/>
      <c r="G1992" s="958">
        <f t="shared" ref="G1992:G1994" si="75">ROUND(D1992*E1992,2)</f>
        <v>13.13</v>
      </c>
      <c r="H1992" s="958"/>
    </row>
    <row r="1993" spans="1:10">
      <c r="A1993" s="398"/>
      <c r="B1993" s="230" t="s">
        <v>513</v>
      </c>
      <c r="C1993" s="231" t="s">
        <v>112</v>
      </c>
      <c r="D1993" s="401">
        <v>0.12</v>
      </c>
      <c r="E1993" s="959">
        <f>Insumos!$C$241</f>
        <v>12.2759</v>
      </c>
      <c r="F1993" s="959"/>
      <c r="G1993" s="958">
        <f t="shared" si="75"/>
        <v>1.47</v>
      </c>
      <c r="H1993" s="958"/>
    </row>
    <row r="1994" spans="1:10">
      <c r="A1994" s="398"/>
      <c r="B1994" s="230" t="s">
        <v>535</v>
      </c>
      <c r="C1994" s="231" t="s">
        <v>112</v>
      </c>
      <c r="D1994" s="401">
        <v>0.11799999999999999</v>
      </c>
      <c r="E1994" s="959">
        <f>Insumos!$E$1241</f>
        <v>6.4064000000000005</v>
      </c>
      <c r="F1994" s="959"/>
      <c r="G1994" s="958">
        <f t="shared" si="75"/>
        <v>0.76</v>
      </c>
      <c r="H1994" s="958"/>
    </row>
    <row r="1995" spans="1:10" s="406" customFormat="1" ht="15">
      <c r="A1995" s="398"/>
      <c r="B1995" s="955" t="s">
        <v>536</v>
      </c>
      <c r="C1995" s="955"/>
      <c r="D1995" s="955"/>
      <c r="E1995" s="389"/>
      <c r="F1995" s="409"/>
      <c r="G1995" s="410"/>
      <c r="H1995" s="249">
        <f>SUM(G1992)</f>
        <v>13.13</v>
      </c>
      <c r="I1995" s="407"/>
      <c r="J1995" s="408"/>
    </row>
    <row r="1996" spans="1:10">
      <c r="A1996" s="398"/>
      <c r="B1996" s="955" t="s">
        <v>537</v>
      </c>
      <c r="C1996" s="955"/>
      <c r="D1996" s="955"/>
      <c r="E1996" s="389"/>
      <c r="F1996" s="409"/>
      <c r="G1996" s="410"/>
      <c r="H1996" s="249">
        <f>SUM(G1993:H1994)</f>
        <v>2.23</v>
      </c>
    </row>
    <row r="1997" spans="1:10">
      <c r="A1997" s="398"/>
      <c r="B1997" s="955" t="s">
        <v>1937</v>
      </c>
      <c r="C1997" s="955"/>
      <c r="D1997" s="955"/>
      <c r="E1997" s="389"/>
      <c r="F1997" s="409"/>
      <c r="G1997" s="410"/>
      <c r="H1997" s="249">
        <f>SUM(H1995:H1996)</f>
        <v>15.360000000000001</v>
      </c>
    </row>
    <row r="1998" spans="1:10">
      <c r="A1998" s="398"/>
      <c r="B1998" s="955" t="s">
        <v>538</v>
      </c>
      <c r="C1998" s="955"/>
      <c r="D1998" s="955"/>
      <c r="E1998" s="389"/>
      <c r="F1998" s="411" t="s">
        <v>539</v>
      </c>
      <c r="G1998" s="410"/>
      <c r="H1998" s="249">
        <f>H1997*0.2496</f>
        <v>3.8338559999999999</v>
      </c>
    </row>
    <row r="1999" spans="1:10">
      <c r="A1999" s="398"/>
      <c r="B1999" s="956" t="s">
        <v>540</v>
      </c>
      <c r="C1999" s="956"/>
      <c r="D1999" s="956"/>
      <c r="E1999" s="740"/>
      <c r="F1999" s="768"/>
      <c r="G1999" s="769"/>
      <c r="H1999" s="770">
        <f>SUM(H1997:H1998)</f>
        <v>19.193856</v>
      </c>
    </row>
    <row r="2000" spans="1:10" s="579" customFormat="1">
      <c r="A2000" s="601"/>
      <c r="B2000" s="780"/>
      <c r="C2000" s="780"/>
      <c r="D2000" s="780"/>
      <c r="E2000" s="740"/>
      <c r="F2000" s="768"/>
      <c r="G2000" s="769"/>
      <c r="H2000" s="770"/>
      <c r="I2000" s="400"/>
      <c r="J2000" s="404"/>
    </row>
    <row r="2001" spans="1:10" s="579" customFormat="1">
      <c r="A2001" s="602" t="s">
        <v>2457</v>
      </c>
      <c r="B2001" s="961" t="s">
        <v>1535</v>
      </c>
      <c r="C2001" s="961"/>
      <c r="D2001" s="961"/>
      <c r="E2001" s="961"/>
      <c r="F2001" s="961"/>
      <c r="G2001" s="739"/>
      <c r="H2001" s="602" t="s">
        <v>15</v>
      </c>
      <c r="I2001" s="400"/>
      <c r="J2001" s="404"/>
    </row>
    <row r="2002" spans="1:10" s="579" customFormat="1">
      <c r="A2002" s="601"/>
      <c r="B2002" s="595" t="s">
        <v>1522</v>
      </c>
      <c r="C2002" s="596" t="s">
        <v>15</v>
      </c>
      <c r="D2002" s="401">
        <v>1</v>
      </c>
      <c r="E2002" s="959">
        <f>Insumos!C1248</f>
        <v>13.1313</v>
      </c>
      <c r="F2002" s="959"/>
      <c r="G2002" s="958">
        <f t="shared" ref="G2002:G2004" si="76">ROUND(D2002*E2002,2)</f>
        <v>13.13</v>
      </c>
      <c r="H2002" s="958"/>
      <c r="I2002" s="400"/>
      <c r="J2002" s="404"/>
    </row>
    <row r="2003" spans="1:10" s="579" customFormat="1">
      <c r="A2003" s="601"/>
      <c r="B2003" s="595" t="s">
        <v>513</v>
      </c>
      <c r="C2003" s="596" t="s">
        <v>112</v>
      </c>
      <c r="D2003" s="401">
        <v>0.12</v>
      </c>
      <c r="E2003" s="959">
        <f>Insumos!$C$241</f>
        <v>12.2759</v>
      </c>
      <c r="F2003" s="959"/>
      <c r="G2003" s="958">
        <f t="shared" si="76"/>
        <v>1.47</v>
      </c>
      <c r="H2003" s="958"/>
      <c r="I2003" s="400"/>
      <c r="J2003" s="404"/>
    </row>
    <row r="2004" spans="1:10" s="579" customFormat="1">
      <c r="A2004" s="601"/>
      <c r="B2004" s="595" t="s">
        <v>535</v>
      </c>
      <c r="C2004" s="596" t="s">
        <v>112</v>
      </c>
      <c r="D2004" s="401">
        <v>0.11799999999999999</v>
      </c>
      <c r="E2004" s="959">
        <f>Insumos!$E$1241</f>
        <v>6.4064000000000005</v>
      </c>
      <c r="F2004" s="959"/>
      <c r="G2004" s="958">
        <f t="shared" si="76"/>
        <v>0.76</v>
      </c>
      <c r="H2004" s="958"/>
      <c r="I2004" s="400"/>
      <c r="J2004" s="404"/>
    </row>
    <row r="2005" spans="1:10" s="581" customFormat="1" ht="15">
      <c r="A2005" s="601"/>
      <c r="B2005" s="955" t="s">
        <v>536</v>
      </c>
      <c r="C2005" s="955"/>
      <c r="D2005" s="955"/>
      <c r="E2005" s="737"/>
      <c r="F2005" s="605"/>
      <c r="G2005" s="606"/>
      <c r="H2005" s="597">
        <f>SUM(G2002)</f>
        <v>13.13</v>
      </c>
      <c r="I2005" s="603"/>
      <c r="J2005" s="604"/>
    </row>
    <row r="2006" spans="1:10" s="579" customFormat="1">
      <c r="A2006" s="601"/>
      <c r="B2006" s="955" t="s">
        <v>537</v>
      </c>
      <c r="C2006" s="955"/>
      <c r="D2006" s="955"/>
      <c r="E2006" s="737"/>
      <c r="F2006" s="605"/>
      <c r="G2006" s="606"/>
      <c r="H2006" s="597">
        <f>SUM(G2003:H2004)</f>
        <v>2.23</v>
      </c>
      <c r="I2006" s="400"/>
      <c r="J2006" s="404"/>
    </row>
    <row r="2007" spans="1:10" s="579" customFormat="1">
      <c r="A2007" s="601"/>
      <c r="B2007" s="955" t="s">
        <v>1937</v>
      </c>
      <c r="C2007" s="955"/>
      <c r="D2007" s="955"/>
      <c r="E2007" s="737"/>
      <c r="F2007" s="605"/>
      <c r="G2007" s="606"/>
      <c r="H2007" s="597">
        <f>SUM(H2005:H2006)</f>
        <v>15.360000000000001</v>
      </c>
      <c r="I2007" s="400"/>
      <c r="J2007" s="404"/>
    </row>
    <row r="2008" spans="1:10" s="579" customFormat="1">
      <c r="A2008" s="601"/>
      <c r="B2008" s="955" t="s">
        <v>538</v>
      </c>
      <c r="C2008" s="955"/>
      <c r="D2008" s="955"/>
      <c r="E2008" s="737"/>
      <c r="F2008" s="607" t="s">
        <v>539</v>
      </c>
      <c r="G2008" s="606"/>
      <c r="H2008" s="597">
        <f>H2007*0.2496</f>
        <v>3.8338559999999999</v>
      </c>
      <c r="I2008" s="400"/>
      <c r="J2008" s="404"/>
    </row>
    <row r="2009" spans="1:10" s="579" customFormat="1">
      <c r="A2009" s="601"/>
      <c r="B2009" s="956" t="s">
        <v>540</v>
      </c>
      <c r="C2009" s="956"/>
      <c r="D2009" s="956"/>
      <c r="E2009" s="740"/>
      <c r="F2009" s="768"/>
      <c r="G2009" s="769"/>
      <c r="H2009" s="770">
        <f>SUM(H2007:H2008)</f>
        <v>19.193856</v>
      </c>
      <c r="I2009" s="400"/>
      <c r="J2009" s="404"/>
    </row>
    <row r="2010" spans="1:10" s="579" customFormat="1">
      <c r="A2010" s="601"/>
      <c r="B2010" s="738"/>
      <c r="C2010" s="738"/>
      <c r="D2010" s="738"/>
      <c r="E2010" s="737"/>
      <c r="F2010" s="605"/>
      <c r="G2010" s="606"/>
      <c r="H2010" s="597"/>
      <c r="I2010" s="400"/>
      <c r="J2010" s="404"/>
    </row>
    <row r="2011" spans="1:10">
      <c r="A2011" s="403" t="s">
        <v>2458</v>
      </c>
      <c r="B2011" s="961" t="s">
        <v>1536</v>
      </c>
      <c r="C2011" s="961"/>
      <c r="D2011" s="961"/>
      <c r="E2011" s="961"/>
      <c r="F2011" s="961"/>
      <c r="G2011" s="402"/>
      <c r="H2011" s="403" t="s">
        <v>15</v>
      </c>
    </row>
    <row r="2012" spans="1:10" ht="22.5">
      <c r="A2012" s="398"/>
      <c r="B2012" s="230" t="s">
        <v>1523</v>
      </c>
      <c r="C2012" s="231" t="s">
        <v>15</v>
      </c>
      <c r="D2012" s="401">
        <v>1.02</v>
      </c>
      <c r="E2012" s="959">
        <f>Insumos!C1249</f>
        <v>24.8703</v>
      </c>
      <c r="F2012" s="959"/>
      <c r="G2012" s="958">
        <f t="shared" ref="G2012:G2014" si="77">ROUND(D2012*E2012,2)</f>
        <v>25.37</v>
      </c>
      <c r="H2012" s="958"/>
    </row>
    <row r="2013" spans="1:10">
      <c r="A2013" s="398"/>
      <c r="B2013" s="230" t="s">
        <v>513</v>
      </c>
      <c r="C2013" s="231" t="s">
        <v>112</v>
      </c>
      <c r="D2013" s="401">
        <v>0.17</v>
      </c>
      <c r="E2013" s="959">
        <f>Insumos!$C$241</f>
        <v>12.2759</v>
      </c>
      <c r="F2013" s="959"/>
      <c r="G2013" s="958">
        <f t="shared" si="77"/>
        <v>2.09</v>
      </c>
      <c r="H2013" s="958"/>
    </row>
    <row r="2014" spans="1:10">
      <c r="A2014" s="398"/>
      <c r="B2014" s="230" t="s">
        <v>535</v>
      </c>
      <c r="C2014" s="231" t="s">
        <v>112</v>
      </c>
      <c r="D2014" s="401">
        <v>0.17</v>
      </c>
      <c r="E2014" s="959">
        <f>Insumos!$E$1241</f>
        <v>6.4064000000000005</v>
      </c>
      <c r="F2014" s="959"/>
      <c r="G2014" s="958">
        <f t="shared" si="77"/>
        <v>1.0900000000000001</v>
      </c>
      <c r="H2014" s="958"/>
    </row>
    <row r="2015" spans="1:10">
      <c r="A2015" s="398"/>
      <c r="B2015" s="955" t="s">
        <v>536</v>
      </c>
      <c r="C2015" s="955"/>
      <c r="D2015" s="955"/>
      <c r="E2015" s="389"/>
      <c r="F2015" s="409"/>
      <c r="G2015" s="410"/>
      <c r="H2015" s="249">
        <f>SUM(G2012)</f>
        <v>25.37</v>
      </c>
    </row>
    <row r="2016" spans="1:10">
      <c r="A2016" s="398"/>
      <c r="B2016" s="955" t="s">
        <v>537</v>
      </c>
      <c r="C2016" s="955"/>
      <c r="D2016" s="955"/>
      <c r="E2016" s="389"/>
      <c r="F2016" s="409"/>
      <c r="G2016" s="410"/>
      <c r="H2016" s="249">
        <f>SUM(G2013:H2014)</f>
        <v>3.1799999999999997</v>
      </c>
    </row>
    <row r="2017" spans="1:10">
      <c r="A2017" s="398"/>
      <c r="B2017" s="955" t="s">
        <v>1937</v>
      </c>
      <c r="C2017" s="955"/>
      <c r="D2017" s="955"/>
      <c r="E2017" s="389"/>
      <c r="F2017" s="409"/>
      <c r="G2017" s="410"/>
      <c r="H2017" s="249">
        <f>SUM(H2015:H2016)</f>
        <v>28.55</v>
      </c>
    </row>
    <row r="2018" spans="1:10">
      <c r="A2018" s="398"/>
      <c r="B2018" s="955" t="s">
        <v>538</v>
      </c>
      <c r="C2018" s="955"/>
      <c r="D2018" s="955"/>
      <c r="E2018" s="389"/>
      <c r="F2018" s="411" t="s">
        <v>539</v>
      </c>
      <c r="G2018" s="410"/>
      <c r="H2018" s="249">
        <f>H2017*0.2496</f>
        <v>7.12608</v>
      </c>
    </row>
    <row r="2019" spans="1:10">
      <c r="A2019" s="398"/>
      <c r="B2019" s="956" t="s">
        <v>540</v>
      </c>
      <c r="C2019" s="956"/>
      <c r="D2019" s="956"/>
      <c r="E2019" s="740"/>
      <c r="F2019" s="768"/>
      <c r="G2019" s="769"/>
      <c r="H2019" s="770">
        <f>SUM(H2017:H2018)</f>
        <v>35.676079999999999</v>
      </c>
    </row>
    <row r="2020" spans="1:10" s="579" customFormat="1">
      <c r="A2020" s="601"/>
      <c r="B2020" s="780"/>
      <c r="C2020" s="780"/>
      <c r="D2020" s="780"/>
      <c r="E2020" s="740"/>
      <c r="F2020" s="768"/>
      <c r="G2020" s="769"/>
      <c r="H2020" s="770"/>
      <c r="I2020" s="400"/>
      <c r="J2020" s="404"/>
    </row>
    <row r="2021" spans="1:10">
      <c r="A2021" s="403" t="s">
        <v>2459</v>
      </c>
      <c r="B2021" s="961" t="s">
        <v>1537</v>
      </c>
      <c r="C2021" s="961"/>
      <c r="D2021" s="961"/>
      <c r="E2021" s="961"/>
      <c r="F2021" s="961"/>
      <c r="G2021" s="402"/>
      <c r="H2021" s="403" t="s">
        <v>15</v>
      </c>
    </row>
    <row r="2022" spans="1:10" ht="22.5">
      <c r="A2022" s="398"/>
      <c r="B2022" s="230" t="s">
        <v>1524</v>
      </c>
      <c r="C2022" s="231" t="s">
        <v>15</v>
      </c>
      <c r="D2022" s="401">
        <v>1.02</v>
      </c>
      <c r="E2022" s="959">
        <f>Insumos!C1250</f>
        <v>40.258400000000002</v>
      </c>
      <c r="F2022" s="959"/>
      <c r="G2022" s="958">
        <f t="shared" ref="G2022:G2024" si="78">ROUND(D2022*E2022,2)</f>
        <v>41.06</v>
      </c>
      <c r="H2022" s="958"/>
    </row>
    <row r="2023" spans="1:10">
      <c r="A2023" s="398"/>
      <c r="B2023" s="230" t="s">
        <v>513</v>
      </c>
      <c r="C2023" s="231" t="s">
        <v>112</v>
      </c>
      <c r="D2023" s="401">
        <v>0.23</v>
      </c>
      <c r="E2023" s="959">
        <f>Insumos!$C$241</f>
        <v>12.2759</v>
      </c>
      <c r="F2023" s="959"/>
      <c r="G2023" s="958">
        <f t="shared" si="78"/>
        <v>2.82</v>
      </c>
      <c r="H2023" s="958"/>
    </row>
    <row r="2024" spans="1:10">
      <c r="A2024" s="398"/>
      <c r="B2024" s="230" t="s">
        <v>535</v>
      </c>
      <c r="C2024" s="231" t="s">
        <v>112</v>
      </c>
      <c r="D2024" s="401">
        <v>0.23</v>
      </c>
      <c r="E2024" s="959">
        <f>Insumos!$E$1241</f>
        <v>6.4064000000000005</v>
      </c>
      <c r="F2024" s="959"/>
      <c r="G2024" s="958">
        <f t="shared" si="78"/>
        <v>1.47</v>
      </c>
      <c r="H2024" s="958"/>
    </row>
    <row r="2025" spans="1:10">
      <c r="A2025" s="398"/>
      <c r="B2025" s="955" t="s">
        <v>536</v>
      </c>
      <c r="C2025" s="955"/>
      <c r="D2025" s="955"/>
      <c r="E2025" s="389"/>
      <c r="F2025" s="409"/>
      <c r="G2025" s="410"/>
      <c r="H2025" s="249">
        <f>SUM(G2022)</f>
        <v>41.06</v>
      </c>
    </row>
    <row r="2026" spans="1:10">
      <c r="A2026" s="398"/>
      <c r="B2026" s="955" t="s">
        <v>537</v>
      </c>
      <c r="C2026" s="955"/>
      <c r="D2026" s="955"/>
      <c r="E2026" s="389"/>
      <c r="F2026" s="409"/>
      <c r="G2026" s="410"/>
      <c r="H2026" s="249">
        <f>SUM(G2023:H2024)</f>
        <v>4.29</v>
      </c>
    </row>
    <row r="2027" spans="1:10" s="406" customFormat="1" ht="15">
      <c r="A2027" s="398"/>
      <c r="B2027" s="955" t="s">
        <v>1937</v>
      </c>
      <c r="C2027" s="955"/>
      <c r="D2027" s="955"/>
      <c r="E2027" s="389"/>
      <c r="F2027" s="409"/>
      <c r="G2027" s="410"/>
      <c r="H2027" s="249">
        <f>SUM(H2025:H2026)</f>
        <v>45.35</v>
      </c>
      <c r="I2027" s="407"/>
      <c r="J2027" s="408"/>
    </row>
    <row r="2028" spans="1:10">
      <c r="A2028" s="398"/>
      <c r="B2028" s="955" t="s">
        <v>538</v>
      </c>
      <c r="C2028" s="955"/>
      <c r="D2028" s="955"/>
      <c r="E2028" s="389"/>
      <c r="F2028" s="411" t="s">
        <v>539</v>
      </c>
      <c r="G2028" s="410"/>
      <c r="H2028" s="249">
        <f>H2027*0.2496</f>
        <v>11.31936</v>
      </c>
    </row>
    <row r="2029" spans="1:10">
      <c r="A2029" s="398"/>
      <c r="B2029" s="956" t="s">
        <v>540</v>
      </c>
      <c r="C2029" s="956"/>
      <c r="D2029" s="956"/>
      <c r="E2029" s="740"/>
      <c r="F2029" s="768"/>
      <c r="G2029" s="769"/>
      <c r="H2029" s="770">
        <f>SUM(H2027:H2028)</f>
        <v>56.669359999999998</v>
      </c>
    </row>
    <row r="2030" spans="1:10" s="579" customFormat="1">
      <c r="A2030" s="601"/>
      <c r="B2030" s="780"/>
      <c r="C2030" s="780"/>
      <c r="D2030" s="780"/>
      <c r="E2030" s="740"/>
      <c r="F2030" s="768"/>
      <c r="G2030" s="769"/>
      <c r="H2030" s="770"/>
      <c r="I2030" s="400"/>
      <c r="J2030" s="404"/>
    </row>
    <row r="2031" spans="1:10" s="579" customFormat="1">
      <c r="A2031" s="602" t="s">
        <v>2460</v>
      </c>
      <c r="B2031" s="961" t="s">
        <v>1537</v>
      </c>
      <c r="C2031" s="961"/>
      <c r="D2031" s="961"/>
      <c r="E2031" s="961"/>
      <c r="F2031" s="961"/>
      <c r="G2031" s="739"/>
      <c r="H2031" s="602" t="s">
        <v>15</v>
      </c>
      <c r="I2031" s="400"/>
      <c r="J2031" s="404"/>
    </row>
    <row r="2032" spans="1:10" s="579" customFormat="1" ht="22.5">
      <c r="A2032" s="601"/>
      <c r="B2032" s="595" t="s">
        <v>1524</v>
      </c>
      <c r="C2032" s="596" t="s">
        <v>15</v>
      </c>
      <c r="D2032" s="401">
        <v>1.02</v>
      </c>
      <c r="E2032" s="959">
        <f>Insumos!C1250</f>
        <v>40.258400000000002</v>
      </c>
      <c r="F2032" s="959"/>
      <c r="G2032" s="958">
        <f t="shared" ref="G2032:G2034" si="79">ROUND(D2032*E2032,2)</f>
        <v>41.06</v>
      </c>
      <c r="H2032" s="958"/>
      <c r="I2032" s="400"/>
      <c r="J2032" s="404"/>
    </row>
    <row r="2033" spans="1:10" s="579" customFormat="1">
      <c r="A2033" s="601"/>
      <c r="B2033" s="595" t="s">
        <v>513</v>
      </c>
      <c r="C2033" s="596" t="s">
        <v>112</v>
      </c>
      <c r="D2033" s="401">
        <v>0.23</v>
      </c>
      <c r="E2033" s="959">
        <f>Insumos!$C$241</f>
        <v>12.2759</v>
      </c>
      <c r="F2033" s="959"/>
      <c r="G2033" s="958">
        <f t="shared" si="79"/>
        <v>2.82</v>
      </c>
      <c r="H2033" s="958"/>
      <c r="I2033" s="400"/>
      <c r="J2033" s="404"/>
    </row>
    <row r="2034" spans="1:10" s="579" customFormat="1">
      <c r="A2034" s="601"/>
      <c r="B2034" s="595" t="s">
        <v>535</v>
      </c>
      <c r="C2034" s="596" t="s">
        <v>112</v>
      </c>
      <c r="D2034" s="401">
        <v>0.23</v>
      </c>
      <c r="E2034" s="959">
        <f>Insumos!$E$1241</f>
        <v>6.4064000000000005</v>
      </c>
      <c r="F2034" s="959"/>
      <c r="G2034" s="958">
        <f t="shared" si="79"/>
        <v>1.47</v>
      </c>
      <c r="H2034" s="958"/>
      <c r="I2034" s="400"/>
      <c r="J2034" s="404"/>
    </row>
    <row r="2035" spans="1:10" s="579" customFormat="1">
      <c r="A2035" s="601"/>
      <c r="B2035" s="955" t="s">
        <v>536</v>
      </c>
      <c r="C2035" s="955"/>
      <c r="D2035" s="955"/>
      <c r="E2035" s="737"/>
      <c r="F2035" s="605"/>
      <c r="G2035" s="606"/>
      <c r="H2035" s="597">
        <f>SUM(G2032)</f>
        <v>41.06</v>
      </c>
      <c r="I2035" s="400"/>
      <c r="J2035" s="404"/>
    </row>
    <row r="2036" spans="1:10" s="579" customFormat="1">
      <c r="A2036" s="601"/>
      <c r="B2036" s="955" t="s">
        <v>537</v>
      </c>
      <c r="C2036" s="955"/>
      <c r="D2036" s="955"/>
      <c r="E2036" s="737"/>
      <c r="F2036" s="605"/>
      <c r="G2036" s="606"/>
      <c r="H2036" s="597">
        <f>SUM(G2033:H2034)</f>
        <v>4.29</v>
      </c>
      <c r="I2036" s="400"/>
      <c r="J2036" s="404"/>
    </row>
    <row r="2037" spans="1:10" s="581" customFormat="1" ht="15">
      <c r="A2037" s="601"/>
      <c r="B2037" s="955" t="s">
        <v>1937</v>
      </c>
      <c r="C2037" s="955"/>
      <c r="D2037" s="955"/>
      <c r="E2037" s="737"/>
      <c r="F2037" s="605"/>
      <c r="G2037" s="606"/>
      <c r="H2037" s="597">
        <f>SUM(H2035:H2036)</f>
        <v>45.35</v>
      </c>
      <c r="I2037" s="603"/>
      <c r="J2037" s="604"/>
    </row>
    <row r="2038" spans="1:10" s="579" customFormat="1">
      <c r="A2038" s="601"/>
      <c r="B2038" s="955" t="s">
        <v>538</v>
      </c>
      <c r="C2038" s="955"/>
      <c r="D2038" s="955"/>
      <c r="E2038" s="737"/>
      <c r="F2038" s="607" t="s">
        <v>539</v>
      </c>
      <c r="G2038" s="606"/>
      <c r="H2038" s="597">
        <f>H2037*0.2496</f>
        <v>11.31936</v>
      </c>
      <c r="I2038" s="400"/>
      <c r="J2038" s="404"/>
    </row>
    <row r="2039" spans="1:10" s="579" customFormat="1">
      <c r="A2039" s="601"/>
      <c r="B2039" s="956" t="s">
        <v>540</v>
      </c>
      <c r="C2039" s="956"/>
      <c r="D2039" s="956"/>
      <c r="E2039" s="740"/>
      <c r="F2039" s="768"/>
      <c r="G2039" s="769"/>
      <c r="H2039" s="770">
        <f>SUM(H2037:H2038)</f>
        <v>56.669359999999998</v>
      </c>
      <c r="I2039" s="400"/>
      <c r="J2039" s="404"/>
    </row>
    <row r="2040" spans="1:10" s="579" customFormat="1">
      <c r="A2040" s="601"/>
      <c r="B2040" s="738"/>
      <c r="C2040" s="738"/>
      <c r="D2040" s="738"/>
      <c r="E2040" s="737"/>
      <c r="F2040" s="605"/>
      <c r="G2040" s="606"/>
      <c r="H2040" s="597"/>
      <c r="I2040" s="400"/>
      <c r="J2040" s="404"/>
    </row>
    <row r="2041" spans="1:10" ht="48" customHeight="1">
      <c r="A2041" s="403" t="s">
        <v>2461</v>
      </c>
      <c r="B2041" s="961" t="s">
        <v>839</v>
      </c>
      <c r="C2041" s="961"/>
      <c r="D2041" s="961"/>
      <c r="E2041" s="961"/>
      <c r="F2041" s="961"/>
      <c r="G2041" s="406"/>
      <c r="H2041" s="403" t="s">
        <v>14</v>
      </c>
    </row>
    <row r="2042" spans="1:10">
      <c r="A2042" s="398"/>
      <c r="B2042" s="230" t="s">
        <v>549</v>
      </c>
      <c r="C2042" s="231" t="s">
        <v>16</v>
      </c>
      <c r="D2042" s="436">
        <v>0.8</v>
      </c>
      <c r="E2042" s="964">
        <f>Insumos!C1159</f>
        <v>0.50050000000000006</v>
      </c>
      <c r="F2042" s="964"/>
      <c r="G2042" s="958">
        <f t="shared" ref="G2042:G2050" si="80">ROUND(D2042*E2042,2)</f>
        <v>0.4</v>
      </c>
      <c r="H2042" s="958"/>
    </row>
    <row r="2043" spans="1:10">
      <c r="A2043" s="398"/>
      <c r="B2043" s="230" t="s">
        <v>840</v>
      </c>
      <c r="C2043" s="231" t="s">
        <v>14</v>
      </c>
      <c r="D2043" s="436">
        <v>75</v>
      </c>
      <c r="E2043" s="964">
        <f>Insumos!C768</f>
        <v>1.1648000000000001</v>
      </c>
      <c r="F2043" s="964"/>
      <c r="G2043" s="958">
        <f t="shared" si="80"/>
        <v>87.36</v>
      </c>
      <c r="H2043" s="958"/>
    </row>
    <row r="2044" spans="1:10">
      <c r="A2044" s="398"/>
      <c r="B2044" s="230" t="s">
        <v>841</v>
      </c>
      <c r="C2044" s="231" t="s">
        <v>97</v>
      </c>
      <c r="D2044" s="436">
        <v>1.6500000000000001E-2</v>
      </c>
      <c r="E2044" s="964">
        <f>Insumos!C769</f>
        <v>347.21960000000001</v>
      </c>
      <c r="F2044" s="964"/>
      <c r="G2044" s="958">
        <f t="shared" si="80"/>
        <v>5.73</v>
      </c>
      <c r="H2044" s="958"/>
    </row>
    <row r="2045" spans="1:10">
      <c r="A2045" s="398"/>
      <c r="B2045" s="230" t="s">
        <v>842</v>
      </c>
      <c r="C2045" s="231" t="s">
        <v>97</v>
      </c>
      <c r="D2045" s="436">
        <v>2.2800000000000001E-2</v>
      </c>
      <c r="E2045" s="964">
        <f>Insumos!C770</f>
        <v>296.66000000000003</v>
      </c>
      <c r="F2045" s="964"/>
      <c r="G2045" s="958">
        <f t="shared" si="80"/>
        <v>6.76</v>
      </c>
      <c r="H2045" s="958"/>
    </row>
    <row r="2046" spans="1:10">
      <c r="A2046" s="398"/>
      <c r="B2046" s="230" t="s">
        <v>604</v>
      </c>
      <c r="C2046" s="231" t="s">
        <v>97</v>
      </c>
      <c r="D2046" s="436">
        <v>1.7999999999999999E-2</v>
      </c>
      <c r="E2046" s="964">
        <f>Insumos!C771</f>
        <v>365.56520000000006</v>
      </c>
      <c r="F2046" s="964"/>
      <c r="G2046" s="958">
        <f t="shared" si="80"/>
        <v>6.58</v>
      </c>
      <c r="H2046" s="958"/>
    </row>
    <row r="2047" spans="1:10">
      <c r="A2047" s="398"/>
      <c r="B2047" s="230" t="s">
        <v>843</v>
      </c>
      <c r="C2047" s="231" t="s">
        <v>14</v>
      </c>
      <c r="D2047" s="436">
        <v>1</v>
      </c>
      <c r="E2047" s="964">
        <f>Insumos!C772</f>
        <v>20.0564</v>
      </c>
      <c r="F2047" s="964"/>
      <c r="G2047" s="958">
        <f t="shared" si="80"/>
        <v>20.059999999999999</v>
      </c>
      <c r="H2047" s="958"/>
    </row>
    <row r="2048" spans="1:10">
      <c r="A2048" s="398"/>
      <c r="B2048" s="230" t="s">
        <v>845</v>
      </c>
      <c r="C2048" s="231" t="s">
        <v>97</v>
      </c>
      <c r="D2048" s="436">
        <v>0.19811602020013475</v>
      </c>
      <c r="E2048" s="964">
        <f>Insumos!C773</f>
        <v>69.897100000000009</v>
      </c>
      <c r="F2048" s="964"/>
      <c r="G2048" s="958">
        <f t="shared" si="80"/>
        <v>13.85</v>
      </c>
      <c r="H2048" s="958"/>
    </row>
    <row r="2049" spans="1:10" s="406" customFormat="1" ht="15">
      <c r="A2049" s="398"/>
      <c r="B2049" s="230" t="s">
        <v>576</v>
      </c>
      <c r="C2049" s="231" t="s">
        <v>112</v>
      </c>
      <c r="D2049" s="436">
        <v>1.2</v>
      </c>
      <c r="E2049" s="959">
        <f>Insumos!C774</f>
        <v>8.6722999999999999</v>
      </c>
      <c r="F2049" s="959"/>
      <c r="G2049" s="958">
        <f t="shared" si="80"/>
        <v>10.41</v>
      </c>
      <c r="H2049" s="958"/>
      <c r="I2049" s="407"/>
      <c r="J2049" s="408"/>
    </row>
    <row r="2050" spans="1:10">
      <c r="A2050" s="398"/>
      <c r="B2050" s="230" t="s">
        <v>535</v>
      </c>
      <c r="C2050" s="231" t="s">
        <v>112</v>
      </c>
      <c r="D2050" s="436">
        <v>1</v>
      </c>
      <c r="E2050" s="959">
        <f>Insumos!$C$775</f>
        <v>6.4064000000000005</v>
      </c>
      <c r="F2050" s="959"/>
      <c r="G2050" s="958">
        <f t="shared" si="80"/>
        <v>6.41</v>
      </c>
      <c r="H2050" s="958"/>
    </row>
    <row r="2051" spans="1:10">
      <c r="A2051" s="398"/>
      <c r="B2051" s="955" t="s">
        <v>536</v>
      </c>
      <c r="C2051" s="955"/>
      <c r="D2051" s="955"/>
      <c r="E2051" s="389"/>
      <c r="F2051" s="409"/>
      <c r="G2051" s="410"/>
      <c r="H2051" s="249">
        <f>SUM(G2042:H2048)</f>
        <v>140.74</v>
      </c>
    </row>
    <row r="2052" spans="1:10">
      <c r="A2052" s="398"/>
      <c r="B2052" s="955" t="s">
        <v>537</v>
      </c>
      <c r="C2052" s="955"/>
      <c r="D2052" s="955"/>
      <c r="E2052" s="389"/>
      <c r="F2052" s="409"/>
      <c r="G2052" s="410"/>
      <c r="H2052" s="249">
        <f>SUM(G2049:H2050)</f>
        <v>16.82</v>
      </c>
    </row>
    <row r="2053" spans="1:10">
      <c r="A2053" s="398"/>
      <c r="B2053" s="955" t="s">
        <v>1937</v>
      </c>
      <c r="C2053" s="955"/>
      <c r="D2053" s="955"/>
      <c r="E2053" s="389"/>
      <c r="F2053" s="409"/>
      <c r="G2053" s="410"/>
      <c r="H2053" s="249">
        <f>SUM(H2051:H2052)</f>
        <v>157.56</v>
      </c>
    </row>
    <row r="2054" spans="1:10">
      <c r="A2054" s="398"/>
      <c r="B2054" s="955" t="s">
        <v>538</v>
      </c>
      <c r="C2054" s="955"/>
      <c r="D2054" s="955"/>
      <c r="E2054" s="389"/>
      <c r="F2054" s="411" t="s">
        <v>539</v>
      </c>
      <c r="G2054" s="410"/>
      <c r="H2054" s="249">
        <f>H2053*0.2496</f>
        <v>39.326976000000002</v>
      </c>
    </row>
    <row r="2055" spans="1:10">
      <c r="A2055" s="398"/>
      <c r="B2055" s="956" t="s">
        <v>540</v>
      </c>
      <c r="C2055" s="956"/>
      <c r="D2055" s="956"/>
      <c r="E2055" s="740"/>
      <c r="F2055" s="768"/>
      <c r="G2055" s="769"/>
      <c r="H2055" s="770">
        <f>SUM(H2053:H2054)</f>
        <v>196.886976</v>
      </c>
    </row>
    <row r="2056" spans="1:10" s="579" customFormat="1">
      <c r="A2056" s="601"/>
      <c r="B2056" s="780"/>
      <c r="C2056" s="780"/>
      <c r="D2056" s="780"/>
      <c r="E2056" s="740"/>
      <c r="F2056" s="768"/>
      <c r="G2056" s="769"/>
      <c r="H2056" s="770"/>
      <c r="I2056" s="400"/>
      <c r="J2056" s="404"/>
    </row>
    <row r="2057" spans="1:10">
      <c r="A2057" s="403" t="s">
        <v>2462</v>
      </c>
      <c r="B2057" s="961" t="s">
        <v>1525</v>
      </c>
      <c r="C2057" s="961"/>
      <c r="D2057" s="961"/>
      <c r="E2057" s="961"/>
      <c r="F2057" s="961"/>
      <c r="G2057" s="402"/>
      <c r="H2057" s="403" t="s">
        <v>14</v>
      </c>
    </row>
    <row r="2058" spans="1:10">
      <c r="A2058" s="398"/>
      <c r="B2058" s="230" t="s">
        <v>1525</v>
      </c>
      <c r="C2058" s="231" t="s">
        <v>14</v>
      </c>
      <c r="D2058" s="401">
        <v>1</v>
      </c>
      <c r="E2058" s="959">
        <f>Insumos!C1251</f>
        <v>33.023899999999998</v>
      </c>
      <c r="F2058" s="959"/>
      <c r="G2058" s="958">
        <f t="shared" ref="G2058:G2060" si="81">ROUND(D2058*E2058,2)</f>
        <v>33.020000000000003</v>
      </c>
      <c r="H2058" s="958"/>
    </row>
    <row r="2059" spans="1:10">
      <c r="A2059" s="398"/>
      <c r="B2059" s="230" t="s">
        <v>513</v>
      </c>
      <c r="C2059" s="231" t="s">
        <v>112</v>
      </c>
      <c r="D2059" s="401">
        <v>0.3</v>
      </c>
      <c r="E2059" s="959">
        <f>Insumos!$C$241</f>
        <v>12.2759</v>
      </c>
      <c r="F2059" s="959"/>
      <c r="G2059" s="958">
        <f t="shared" si="81"/>
        <v>3.68</v>
      </c>
      <c r="H2059" s="958"/>
    </row>
    <row r="2060" spans="1:10" s="406" customFormat="1" ht="15">
      <c r="A2060" s="398"/>
      <c r="B2060" s="230" t="s">
        <v>514</v>
      </c>
      <c r="C2060" s="231" t="s">
        <v>112</v>
      </c>
      <c r="D2060" s="401">
        <v>0.3</v>
      </c>
      <c r="E2060" s="959">
        <f>Insumos!$C$242</f>
        <v>6.4064000000000005</v>
      </c>
      <c r="F2060" s="959"/>
      <c r="G2060" s="958">
        <f t="shared" si="81"/>
        <v>1.92</v>
      </c>
      <c r="H2060" s="958"/>
      <c r="I2060" s="407"/>
      <c r="J2060" s="408"/>
    </row>
    <row r="2061" spans="1:10">
      <c r="A2061" s="398"/>
      <c r="B2061" s="955" t="s">
        <v>536</v>
      </c>
      <c r="C2061" s="955"/>
      <c r="D2061" s="955"/>
      <c r="E2061" s="389"/>
      <c r="F2061" s="409"/>
      <c r="G2061" s="410"/>
      <c r="H2061" s="249">
        <f>SUM(G2058)</f>
        <v>33.020000000000003</v>
      </c>
    </row>
    <row r="2062" spans="1:10">
      <c r="A2062" s="398"/>
      <c r="B2062" s="955" t="s">
        <v>537</v>
      </c>
      <c r="C2062" s="955"/>
      <c r="D2062" s="955"/>
      <c r="E2062" s="389"/>
      <c r="F2062" s="409"/>
      <c r="G2062" s="410"/>
      <c r="H2062" s="249">
        <f>SUM(G2059:H2060)</f>
        <v>5.6</v>
      </c>
    </row>
    <row r="2063" spans="1:10">
      <c r="A2063" s="398"/>
      <c r="B2063" s="955" t="s">
        <v>1937</v>
      </c>
      <c r="C2063" s="955"/>
      <c r="D2063" s="955"/>
      <c r="E2063" s="389"/>
      <c r="F2063" s="409"/>
      <c r="G2063" s="410"/>
      <c r="H2063" s="249">
        <f>SUM(H2061:H2062)</f>
        <v>38.620000000000005</v>
      </c>
    </row>
    <row r="2064" spans="1:10">
      <c r="A2064" s="398"/>
      <c r="B2064" s="955" t="s">
        <v>538</v>
      </c>
      <c r="C2064" s="955"/>
      <c r="D2064" s="955"/>
      <c r="E2064" s="389"/>
      <c r="F2064" s="411" t="s">
        <v>539</v>
      </c>
      <c r="G2064" s="410"/>
      <c r="H2064" s="249">
        <f>H2063*0.2496</f>
        <v>9.6395520000000001</v>
      </c>
    </row>
    <row r="2065" spans="1:10">
      <c r="A2065" s="398"/>
      <c r="B2065" s="956" t="s">
        <v>540</v>
      </c>
      <c r="C2065" s="956"/>
      <c r="D2065" s="956"/>
      <c r="E2065" s="740"/>
      <c r="F2065" s="768"/>
      <c r="G2065" s="769"/>
      <c r="H2065" s="770">
        <f>SUM(H2063:H2064)</f>
        <v>48.259552000000006</v>
      </c>
    </row>
    <row r="2066" spans="1:10" s="579" customFormat="1">
      <c r="A2066" s="601"/>
      <c r="B2066" s="780"/>
      <c r="C2066" s="780"/>
      <c r="D2066" s="780"/>
      <c r="E2066" s="740"/>
      <c r="F2066" s="768"/>
      <c r="G2066" s="769"/>
      <c r="H2066" s="770"/>
      <c r="I2066" s="400"/>
      <c r="J2066" s="404"/>
    </row>
    <row r="2067" spans="1:10">
      <c r="A2067" s="403" t="s">
        <v>2463</v>
      </c>
      <c r="B2067" s="961" t="s">
        <v>1538</v>
      </c>
      <c r="C2067" s="961"/>
      <c r="D2067" s="961"/>
      <c r="E2067" s="961"/>
      <c r="F2067" s="961"/>
      <c r="G2067" s="402"/>
      <c r="H2067" s="403" t="s">
        <v>14</v>
      </c>
    </row>
    <row r="2068" spans="1:10">
      <c r="A2068" s="398"/>
      <c r="B2068" s="230" t="s">
        <v>1526</v>
      </c>
      <c r="C2068" s="231" t="s">
        <v>14</v>
      </c>
      <c r="D2068" s="436">
        <v>1</v>
      </c>
      <c r="E2068" s="959">
        <f>Insumos!C1252</f>
        <v>2.3022999999999998</v>
      </c>
      <c r="F2068" s="959"/>
      <c r="G2068" s="958">
        <f t="shared" ref="G2068:G2070" si="82">ROUND(D2068*E2068,2)</f>
        <v>2.2999999999999998</v>
      </c>
      <c r="H2068" s="958"/>
    </row>
    <row r="2069" spans="1:10">
      <c r="A2069" s="398"/>
      <c r="B2069" s="230" t="s">
        <v>513</v>
      </c>
      <c r="C2069" s="231" t="s">
        <v>112</v>
      </c>
      <c r="D2069" s="436">
        <v>0.20348325378989238</v>
      </c>
      <c r="E2069" s="959">
        <f>Insumos!$C$241</f>
        <v>12.2759</v>
      </c>
      <c r="F2069" s="959"/>
      <c r="G2069" s="958">
        <f t="shared" si="82"/>
        <v>2.5</v>
      </c>
      <c r="H2069" s="958"/>
    </row>
    <row r="2070" spans="1:10">
      <c r="A2070" s="398"/>
      <c r="B2070" s="230" t="s">
        <v>514</v>
      </c>
      <c r="C2070" s="231" t="s">
        <v>112</v>
      </c>
      <c r="D2070" s="436">
        <v>0.19780118750000023</v>
      </c>
      <c r="E2070" s="959">
        <f>Insumos!$C$242</f>
        <v>6.4064000000000005</v>
      </c>
      <c r="F2070" s="959"/>
      <c r="G2070" s="958">
        <f t="shared" si="82"/>
        <v>1.27</v>
      </c>
      <c r="H2070" s="958"/>
    </row>
    <row r="2071" spans="1:10" s="406" customFormat="1" ht="15">
      <c r="A2071" s="398"/>
      <c r="B2071" s="955" t="s">
        <v>536</v>
      </c>
      <c r="C2071" s="955"/>
      <c r="D2071" s="955"/>
      <c r="E2071" s="389"/>
      <c r="F2071" s="409"/>
      <c r="G2071" s="410"/>
      <c r="H2071" s="249">
        <f>SUM(G2068)</f>
        <v>2.2999999999999998</v>
      </c>
      <c r="I2071" s="407"/>
      <c r="J2071" s="408"/>
    </row>
    <row r="2072" spans="1:10">
      <c r="A2072" s="398"/>
      <c r="B2072" s="955" t="s">
        <v>537</v>
      </c>
      <c r="C2072" s="955"/>
      <c r="D2072" s="955"/>
      <c r="E2072" s="389"/>
      <c r="F2072" s="409"/>
      <c r="G2072" s="410"/>
      <c r="H2072" s="249">
        <f>SUM(G2069:H2070)</f>
        <v>3.77</v>
      </c>
    </row>
    <row r="2073" spans="1:10">
      <c r="A2073" s="398"/>
      <c r="B2073" s="955" t="s">
        <v>1937</v>
      </c>
      <c r="C2073" s="955"/>
      <c r="D2073" s="955"/>
      <c r="E2073" s="389"/>
      <c r="F2073" s="409"/>
      <c r="G2073" s="410"/>
      <c r="H2073" s="249">
        <f>SUM(H2071:H2072)</f>
        <v>6.07</v>
      </c>
    </row>
    <row r="2074" spans="1:10">
      <c r="A2074" s="398"/>
      <c r="B2074" s="955" t="s">
        <v>538</v>
      </c>
      <c r="C2074" s="955"/>
      <c r="D2074" s="955"/>
      <c r="E2074" s="389"/>
      <c r="F2074" s="411" t="s">
        <v>539</v>
      </c>
      <c r="G2074" s="410"/>
      <c r="H2074" s="249">
        <f>H2073*0.2496</f>
        <v>1.515072</v>
      </c>
    </row>
    <row r="2075" spans="1:10">
      <c r="A2075" s="398"/>
      <c r="B2075" s="956" t="s">
        <v>540</v>
      </c>
      <c r="C2075" s="956"/>
      <c r="D2075" s="956"/>
      <c r="E2075" s="740"/>
      <c r="F2075" s="768"/>
      <c r="G2075" s="769"/>
      <c r="H2075" s="770">
        <f>SUM(H2073:H2074)</f>
        <v>7.5850720000000003</v>
      </c>
    </row>
    <row r="2076" spans="1:10" s="579" customFormat="1">
      <c r="A2076" s="601"/>
      <c r="B2076" s="780"/>
      <c r="C2076" s="780"/>
      <c r="D2076" s="780"/>
      <c r="E2076" s="740"/>
      <c r="F2076" s="768"/>
      <c r="G2076" s="769"/>
      <c r="H2076" s="770"/>
      <c r="I2076" s="400"/>
      <c r="J2076" s="404"/>
    </row>
    <row r="2077" spans="1:10">
      <c r="A2077" s="403" t="s">
        <v>2464</v>
      </c>
      <c r="B2077" s="961" t="s">
        <v>1539</v>
      </c>
      <c r="C2077" s="961"/>
      <c r="D2077" s="961"/>
      <c r="E2077" s="961"/>
      <c r="F2077" s="961"/>
      <c r="G2077" s="402"/>
      <c r="H2077" s="403" t="s">
        <v>14</v>
      </c>
    </row>
    <row r="2078" spans="1:10">
      <c r="A2078" s="398"/>
      <c r="B2078" s="230" t="s">
        <v>1527</v>
      </c>
      <c r="C2078" s="231" t="s">
        <v>14</v>
      </c>
      <c r="D2078" s="436">
        <v>1</v>
      </c>
      <c r="E2078" s="959">
        <f>Insumos!C1253</f>
        <v>1.9018999999999999</v>
      </c>
      <c r="F2078" s="959"/>
      <c r="G2078" s="958">
        <f t="shared" ref="G2078:G2080" si="83">ROUND(D2078*E2078,2)</f>
        <v>1.9</v>
      </c>
      <c r="H2078" s="958"/>
    </row>
    <row r="2079" spans="1:10">
      <c r="A2079" s="398"/>
      <c r="B2079" s="230" t="s">
        <v>513</v>
      </c>
      <c r="C2079" s="231" t="s">
        <v>112</v>
      </c>
      <c r="D2079" s="436">
        <v>0.20077014373936003</v>
      </c>
      <c r="E2079" s="959">
        <f>Insumos!$C$241</f>
        <v>12.2759</v>
      </c>
      <c r="F2079" s="959"/>
      <c r="G2079" s="958">
        <f t="shared" si="83"/>
        <v>2.46</v>
      </c>
      <c r="H2079" s="958"/>
    </row>
    <row r="2080" spans="1:10">
      <c r="A2080" s="398"/>
      <c r="B2080" s="230" t="s">
        <v>514</v>
      </c>
      <c r="C2080" s="231" t="s">
        <v>112</v>
      </c>
      <c r="D2080" s="436">
        <v>0.19800000000000001</v>
      </c>
      <c r="E2080" s="959">
        <f>Insumos!$C$242</f>
        <v>6.4064000000000005</v>
      </c>
      <c r="F2080" s="959"/>
      <c r="G2080" s="958">
        <f t="shared" si="83"/>
        <v>1.27</v>
      </c>
      <c r="H2080" s="958"/>
    </row>
    <row r="2081" spans="1:10">
      <c r="A2081" s="398"/>
      <c r="B2081" s="955" t="s">
        <v>536</v>
      </c>
      <c r="C2081" s="955"/>
      <c r="D2081" s="955"/>
      <c r="E2081" s="389"/>
      <c r="F2081" s="409"/>
      <c r="G2081" s="410"/>
      <c r="H2081" s="249">
        <f>SUM(G2078)</f>
        <v>1.9</v>
      </c>
    </row>
    <row r="2082" spans="1:10" s="406" customFormat="1" ht="15">
      <c r="A2082" s="398"/>
      <c r="B2082" s="955" t="s">
        <v>537</v>
      </c>
      <c r="C2082" s="955"/>
      <c r="D2082" s="955"/>
      <c r="E2082" s="389"/>
      <c r="F2082" s="409"/>
      <c r="G2082" s="410"/>
      <c r="H2082" s="249">
        <f>SUM(G2079:H2080)</f>
        <v>3.73</v>
      </c>
      <c r="I2082" s="407"/>
      <c r="J2082" s="408"/>
    </row>
    <row r="2083" spans="1:10">
      <c r="A2083" s="398"/>
      <c r="B2083" s="955" t="s">
        <v>1937</v>
      </c>
      <c r="C2083" s="955"/>
      <c r="D2083" s="955"/>
      <c r="E2083" s="389"/>
      <c r="F2083" s="409"/>
      <c r="G2083" s="410"/>
      <c r="H2083" s="249">
        <f>SUM(H2081:H2082)</f>
        <v>5.63</v>
      </c>
    </row>
    <row r="2084" spans="1:10">
      <c r="A2084" s="398"/>
      <c r="B2084" s="955" t="s">
        <v>538</v>
      </c>
      <c r="C2084" s="955"/>
      <c r="D2084" s="955"/>
      <c r="E2084" s="389"/>
      <c r="F2084" s="411" t="s">
        <v>539</v>
      </c>
      <c r="G2084" s="410"/>
      <c r="H2084" s="249">
        <f>H2083*0.2496</f>
        <v>1.4052479999999998</v>
      </c>
    </row>
    <row r="2085" spans="1:10">
      <c r="A2085" s="398"/>
      <c r="B2085" s="956" t="s">
        <v>540</v>
      </c>
      <c r="C2085" s="956"/>
      <c r="D2085" s="956"/>
      <c r="E2085" s="740"/>
      <c r="F2085" s="768"/>
      <c r="G2085" s="769"/>
      <c r="H2085" s="770">
        <f>SUM(H2083:H2084)</f>
        <v>7.0352479999999993</v>
      </c>
    </row>
    <row r="2086" spans="1:10" s="579" customFormat="1">
      <c r="A2086" s="601"/>
      <c r="B2086" s="780"/>
      <c r="C2086" s="780"/>
      <c r="D2086" s="780"/>
      <c r="E2086" s="740"/>
      <c r="F2086" s="768"/>
      <c r="G2086" s="769"/>
      <c r="H2086" s="770"/>
      <c r="I2086" s="400"/>
      <c r="J2086" s="404"/>
    </row>
    <row r="2087" spans="1:10">
      <c r="A2087" s="403" t="s">
        <v>2465</v>
      </c>
      <c r="B2087" s="961" t="s">
        <v>1540</v>
      </c>
      <c r="C2087" s="961"/>
      <c r="D2087" s="961"/>
      <c r="E2087" s="961"/>
      <c r="F2087" s="961"/>
      <c r="G2087" s="402"/>
      <c r="H2087" s="403" t="s">
        <v>14</v>
      </c>
    </row>
    <row r="2088" spans="1:10">
      <c r="A2088" s="398"/>
      <c r="B2088" s="230" t="s">
        <v>1528</v>
      </c>
      <c r="C2088" s="231" t="s">
        <v>14</v>
      </c>
      <c r="D2088" s="401">
        <v>1</v>
      </c>
      <c r="E2088" s="959">
        <f>Insumos!C1254</f>
        <v>6.8250000000000002</v>
      </c>
      <c r="F2088" s="959"/>
      <c r="G2088" s="958">
        <f t="shared" ref="G2088:G2090" si="84">ROUND(D2088*E2088,2)</f>
        <v>6.83</v>
      </c>
      <c r="H2088" s="958"/>
    </row>
    <row r="2089" spans="1:10">
      <c r="A2089" s="398"/>
      <c r="B2089" s="230" t="s">
        <v>513</v>
      </c>
      <c r="C2089" s="231" t="s">
        <v>112</v>
      </c>
      <c r="D2089" s="401">
        <v>0.38</v>
      </c>
      <c r="E2089" s="959">
        <f>Insumos!$C$241</f>
        <v>12.2759</v>
      </c>
      <c r="F2089" s="959"/>
      <c r="G2089" s="958">
        <f t="shared" si="84"/>
        <v>4.66</v>
      </c>
      <c r="H2089" s="958"/>
    </row>
    <row r="2090" spans="1:10">
      <c r="A2090" s="398"/>
      <c r="B2090" s="230" t="s">
        <v>514</v>
      </c>
      <c r="C2090" s="231" t="s">
        <v>112</v>
      </c>
      <c r="D2090" s="401">
        <v>0.38</v>
      </c>
      <c r="E2090" s="959">
        <f>Insumos!$C$242</f>
        <v>6.4064000000000005</v>
      </c>
      <c r="F2090" s="959"/>
      <c r="G2090" s="958">
        <f t="shared" si="84"/>
        <v>2.4300000000000002</v>
      </c>
      <c r="H2090" s="958"/>
    </row>
    <row r="2091" spans="1:10">
      <c r="A2091" s="398"/>
      <c r="B2091" s="955" t="s">
        <v>536</v>
      </c>
      <c r="C2091" s="955"/>
      <c r="D2091" s="955"/>
      <c r="E2091" s="389"/>
      <c r="F2091" s="409"/>
      <c r="G2091" s="410"/>
      <c r="H2091" s="249">
        <f>SUM(G2088)</f>
        <v>6.83</v>
      </c>
    </row>
    <row r="2092" spans="1:10" s="406" customFormat="1" ht="15">
      <c r="A2092" s="398"/>
      <c r="B2092" s="955" t="s">
        <v>537</v>
      </c>
      <c r="C2092" s="955"/>
      <c r="D2092" s="955"/>
      <c r="E2092" s="389"/>
      <c r="F2092" s="409"/>
      <c r="G2092" s="410"/>
      <c r="H2092" s="249">
        <f>SUM(G2089:H2090)</f>
        <v>7.09</v>
      </c>
      <c r="I2092" s="407"/>
      <c r="J2092" s="408"/>
    </row>
    <row r="2093" spans="1:10">
      <c r="A2093" s="398"/>
      <c r="B2093" s="955" t="s">
        <v>1937</v>
      </c>
      <c r="C2093" s="955"/>
      <c r="D2093" s="955"/>
      <c r="E2093" s="389"/>
      <c r="F2093" s="409"/>
      <c r="G2093" s="410"/>
      <c r="H2093" s="249">
        <f>SUM(H2091:H2092)</f>
        <v>13.92</v>
      </c>
    </row>
    <row r="2094" spans="1:10">
      <c r="A2094" s="398"/>
      <c r="B2094" s="955" t="s">
        <v>538</v>
      </c>
      <c r="C2094" s="955"/>
      <c r="D2094" s="955"/>
      <c r="E2094" s="389"/>
      <c r="F2094" s="411" t="s">
        <v>539</v>
      </c>
      <c r="G2094" s="410"/>
      <c r="H2094" s="249">
        <f>H2093*0.2496</f>
        <v>3.4744319999999997</v>
      </c>
    </row>
    <row r="2095" spans="1:10">
      <c r="A2095" s="398"/>
      <c r="B2095" s="956" t="s">
        <v>540</v>
      </c>
      <c r="C2095" s="956"/>
      <c r="D2095" s="956"/>
      <c r="E2095" s="740"/>
      <c r="F2095" s="768"/>
      <c r="G2095" s="769"/>
      <c r="H2095" s="770">
        <f>SUM(H2093:H2094)</f>
        <v>17.394431999999998</v>
      </c>
    </row>
    <row r="2096" spans="1:10" s="579" customFormat="1">
      <c r="A2096" s="601"/>
      <c r="B2096" s="780"/>
      <c r="C2096" s="780"/>
      <c r="D2096" s="780"/>
      <c r="E2096" s="740"/>
      <c r="F2096" s="768"/>
      <c r="G2096" s="769"/>
      <c r="H2096" s="770"/>
      <c r="I2096" s="400"/>
      <c r="J2096" s="404"/>
    </row>
    <row r="2097" spans="1:10">
      <c r="A2097" s="403" t="s">
        <v>2466</v>
      </c>
      <c r="B2097" s="961" t="s">
        <v>1541</v>
      </c>
      <c r="C2097" s="961"/>
      <c r="D2097" s="961"/>
      <c r="E2097" s="961"/>
      <c r="F2097" s="961"/>
      <c r="G2097" s="402"/>
      <c r="H2097" s="403" t="s">
        <v>14</v>
      </c>
    </row>
    <row r="2098" spans="1:10">
      <c r="A2098" s="398"/>
      <c r="B2098" s="230" t="s">
        <v>1529</v>
      </c>
      <c r="C2098" s="231" t="s">
        <v>14</v>
      </c>
      <c r="D2098" s="401">
        <v>1</v>
      </c>
      <c r="E2098" s="959">
        <f>Insumos!C1255</f>
        <v>29.693300000000004</v>
      </c>
      <c r="F2098" s="959"/>
      <c r="G2098" s="958">
        <f t="shared" ref="G2098:G2100" si="85">ROUND(D2098*E2098,2)</f>
        <v>29.69</v>
      </c>
      <c r="H2098" s="958"/>
    </row>
    <row r="2099" spans="1:10">
      <c r="A2099" s="398"/>
      <c r="B2099" s="230" t="s">
        <v>513</v>
      </c>
      <c r="C2099" s="231" t="s">
        <v>112</v>
      </c>
      <c r="D2099" s="401">
        <v>1.2</v>
      </c>
      <c r="E2099" s="959">
        <f>Insumos!$C$241</f>
        <v>12.2759</v>
      </c>
      <c r="F2099" s="959"/>
      <c r="G2099" s="958">
        <f t="shared" si="85"/>
        <v>14.73</v>
      </c>
      <c r="H2099" s="958"/>
    </row>
    <row r="2100" spans="1:10">
      <c r="A2100" s="398"/>
      <c r="B2100" s="230" t="s">
        <v>514</v>
      </c>
      <c r="C2100" s="231" t="s">
        <v>112</v>
      </c>
      <c r="D2100" s="401">
        <v>1.2</v>
      </c>
      <c r="E2100" s="959">
        <f>Insumos!$C$242</f>
        <v>6.4064000000000005</v>
      </c>
      <c r="F2100" s="959"/>
      <c r="G2100" s="958">
        <f t="shared" si="85"/>
        <v>7.69</v>
      </c>
      <c r="H2100" s="958"/>
    </row>
    <row r="2101" spans="1:10" s="406" customFormat="1" ht="15">
      <c r="A2101" s="398"/>
      <c r="B2101" s="955" t="s">
        <v>536</v>
      </c>
      <c r="C2101" s="955"/>
      <c r="D2101" s="955"/>
      <c r="E2101" s="389"/>
      <c r="F2101" s="409"/>
      <c r="G2101" s="410"/>
      <c r="H2101" s="249">
        <f>SUM(G2098)</f>
        <v>29.69</v>
      </c>
      <c r="I2101" s="407"/>
      <c r="J2101" s="408"/>
    </row>
    <row r="2102" spans="1:10">
      <c r="A2102" s="398"/>
      <c r="B2102" s="955" t="s">
        <v>537</v>
      </c>
      <c r="C2102" s="955"/>
      <c r="D2102" s="955"/>
      <c r="E2102" s="389"/>
      <c r="F2102" s="409"/>
      <c r="G2102" s="410"/>
      <c r="H2102" s="249">
        <f>SUM(G2099:H2100)</f>
        <v>22.42</v>
      </c>
    </row>
    <row r="2103" spans="1:10">
      <c r="A2103" s="398"/>
      <c r="B2103" s="955" t="s">
        <v>1937</v>
      </c>
      <c r="C2103" s="955"/>
      <c r="D2103" s="955"/>
      <c r="E2103" s="389"/>
      <c r="F2103" s="409"/>
      <c r="G2103" s="410"/>
      <c r="H2103" s="249">
        <f>SUM(H2101:H2102)</f>
        <v>52.11</v>
      </c>
    </row>
    <row r="2104" spans="1:10">
      <c r="A2104" s="398"/>
      <c r="B2104" s="955" t="s">
        <v>538</v>
      </c>
      <c r="C2104" s="955"/>
      <c r="D2104" s="955"/>
      <c r="E2104" s="389"/>
      <c r="F2104" s="411" t="s">
        <v>539</v>
      </c>
      <c r="G2104" s="410"/>
      <c r="H2104" s="249">
        <f>H2103*0.2496</f>
        <v>13.006656</v>
      </c>
    </row>
    <row r="2105" spans="1:10">
      <c r="A2105" s="398"/>
      <c r="B2105" s="956" t="s">
        <v>540</v>
      </c>
      <c r="C2105" s="956"/>
      <c r="D2105" s="956"/>
      <c r="E2105" s="740"/>
      <c r="F2105" s="768"/>
      <c r="G2105" s="769"/>
      <c r="H2105" s="770">
        <f>SUM(H2103:H2104)</f>
        <v>65.116656000000006</v>
      </c>
    </row>
    <row r="2106" spans="1:10" s="579" customFormat="1">
      <c r="A2106" s="601"/>
      <c r="B2106" s="780"/>
      <c r="C2106" s="780"/>
      <c r="D2106" s="780"/>
      <c r="E2106" s="740"/>
      <c r="F2106" s="768"/>
      <c r="G2106" s="769"/>
      <c r="H2106" s="770"/>
      <c r="I2106" s="400"/>
      <c r="J2106" s="404"/>
    </row>
    <row r="2107" spans="1:10" ht="39.6" customHeight="1">
      <c r="A2107" s="403" t="s">
        <v>2467</v>
      </c>
      <c r="B2107" s="961" t="s">
        <v>1542</v>
      </c>
      <c r="C2107" s="961"/>
      <c r="D2107" s="961"/>
      <c r="E2107" s="961"/>
      <c r="F2107" s="961"/>
      <c r="G2107" s="402"/>
      <c r="H2107" s="403" t="s">
        <v>15</v>
      </c>
    </row>
    <row r="2108" spans="1:10">
      <c r="A2108" s="398"/>
      <c r="B2108" s="230" t="s">
        <v>1530</v>
      </c>
      <c r="C2108" s="231" t="s">
        <v>15</v>
      </c>
      <c r="D2108" s="436">
        <v>1</v>
      </c>
      <c r="E2108" s="964">
        <f>Insumos!C1256</f>
        <v>7.1434999999999995</v>
      </c>
      <c r="F2108" s="964"/>
      <c r="G2108" s="958">
        <f t="shared" ref="G2108:G2110" si="86">ROUND(D2108*E2108,2)</f>
        <v>7.14</v>
      </c>
      <c r="H2108" s="958"/>
    </row>
    <row r="2109" spans="1:10">
      <c r="A2109" s="398"/>
      <c r="B2109" s="230" t="s">
        <v>1531</v>
      </c>
      <c r="C2109" s="231" t="s">
        <v>14</v>
      </c>
      <c r="D2109" s="436">
        <v>0.29828571428571432</v>
      </c>
      <c r="E2109" s="964">
        <f>Insumos!C1257</f>
        <v>20.311199999999999</v>
      </c>
      <c r="F2109" s="964"/>
      <c r="G2109" s="958">
        <f t="shared" si="86"/>
        <v>6.06</v>
      </c>
      <c r="H2109" s="958"/>
    </row>
    <row r="2110" spans="1:10">
      <c r="A2110" s="398"/>
      <c r="B2110" s="230" t="s">
        <v>535</v>
      </c>
      <c r="C2110" s="231" t="s">
        <v>112</v>
      </c>
      <c r="D2110" s="436">
        <v>0.5</v>
      </c>
      <c r="E2110" s="959">
        <f>Insumos!$C$775</f>
        <v>6.4064000000000005</v>
      </c>
      <c r="F2110" s="959"/>
      <c r="G2110" s="958">
        <f t="shared" si="86"/>
        <v>3.2</v>
      </c>
      <c r="H2110" s="958"/>
    </row>
    <row r="2111" spans="1:10">
      <c r="A2111" s="398"/>
      <c r="B2111" s="955" t="s">
        <v>536</v>
      </c>
      <c r="C2111" s="955"/>
      <c r="D2111" s="955"/>
      <c r="E2111" s="389"/>
      <c r="F2111" s="409"/>
      <c r="G2111" s="410"/>
      <c r="H2111" s="249">
        <f>SUM(G2108:H2109)</f>
        <v>13.2</v>
      </c>
    </row>
    <row r="2112" spans="1:10">
      <c r="A2112" s="398"/>
      <c r="B2112" s="955" t="s">
        <v>537</v>
      </c>
      <c r="C2112" s="955"/>
      <c r="D2112" s="955"/>
      <c r="E2112" s="389"/>
      <c r="F2112" s="409"/>
      <c r="G2112" s="410"/>
      <c r="H2112" s="249">
        <f>SUM(G2110)</f>
        <v>3.2</v>
      </c>
    </row>
    <row r="2113" spans="1:10" s="406" customFormat="1" ht="15">
      <c r="A2113" s="398"/>
      <c r="B2113" s="955" t="s">
        <v>1937</v>
      </c>
      <c r="C2113" s="955"/>
      <c r="D2113" s="955"/>
      <c r="E2113" s="389"/>
      <c r="F2113" s="409"/>
      <c r="G2113" s="410"/>
      <c r="H2113" s="249">
        <f>SUM(H2111:H2112)</f>
        <v>16.399999999999999</v>
      </c>
      <c r="I2113" s="407"/>
      <c r="J2113" s="408"/>
    </row>
    <row r="2114" spans="1:10">
      <c r="A2114" s="398"/>
      <c r="B2114" s="955" t="s">
        <v>538</v>
      </c>
      <c r="C2114" s="955"/>
      <c r="D2114" s="955"/>
      <c r="E2114" s="389"/>
      <c r="F2114" s="411" t="s">
        <v>539</v>
      </c>
      <c r="G2114" s="410"/>
      <c r="H2114" s="249">
        <f>H2113*0.2496</f>
        <v>4.0934399999999993</v>
      </c>
    </row>
    <row r="2115" spans="1:10">
      <c r="A2115" s="398"/>
      <c r="B2115" s="956" t="s">
        <v>540</v>
      </c>
      <c r="C2115" s="956"/>
      <c r="D2115" s="956"/>
      <c r="E2115" s="740"/>
      <c r="F2115" s="768"/>
      <c r="G2115" s="769"/>
      <c r="H2115" s="770">
        <f>SUM(H2113:H2114)</f>
        <v>20.49344</v>
      </c>
    </row>
    <row r="2116" spans="1:10" s="579" customFormat="1">
      <c r="A2116" s="601"/>
      <c r="B2116" s="780"/>
      <c r="C2116" s="780"/>
      <c r="D2116" s="780"/>
      <c r="E2116" s="740"/>
      <c r="F2116" s="768"/>
      <c r="G2116" s="769"/>
      <c r="H2116" s="770"/>
      <c r="I2116" s="400"/>
      <c r="J2116" s="404"/>
    </row>
    <row r="2117" spans="1:10" ht="32.1" customHeight="1">
      <c r="A2117" s="403" t="s">
        <v>2468</v>
      </c>
      <c r="B2117" s="961" t="s">
        <v>1543</v>
      </c>
      <c r="C2117" s="961"/>
      <c r="D2117" s="961"/>
      <c r="E2117" s="961"/>
      <c r="F2117" s="961"/>
      <c r="G2117" s="402"/>
      <c r="H2117" s="403" t="s">
        <v>15</v>
      </c>
    </row>
    <row r="2118" spans="1:10">
      <c r="A2118" s="398"/>
      <c r="B2118" s="230" t="s">
        <v>1532</v>
      </c>
      <c r="C2118" s="231" t="s">
        <v>15</v>
      </c>
      <c r="D2118" s="401">
        <v>1</v>
      </c>
      <c r="E2118" s="959">
        <f>Insumos!C1258</f>
        <v>153.38050000000001</v>
      </c>
      <c r="F2118" s="959"/>
      <c r="G2118" s="958">
        <f t="shared" ref="G2118:G2120" si="87">ROUND(D2118*E2118,2)</f>
        <v>153.38</v>
      </c>
      <c r="H2118" s="958"/>
    </row>
    <row r="2119" spans="1:10">
      <c r="A2119" s="398"/>
      <c r="B2119" s="230" t="s">
        <v>513</v>
      </c>
      <c r="C2119" s="231" t="s">
        <v>112</v>
      </c>
      <c r="D2119" s="401">
        <v>1.1000000000000001</v>
      </c>
      <c r="E2119" s="959">
        <f>Insumos!$C$241</f>
        <v>12.2759</v>
      </c>
      <c r="F2119" s="959"/>
      <c r="G2119" s="958">
        <f t="shared" si="87"/>
        <v>13.5</v>
      </c>
      <c r="H2119" s="958"/>
    </row>
    <row r="2120" spans="1:10">
      <c r="A2120" s="398"/>
      <c r="B2120" s="230" t="s">
        <v>514</v>
      </c>
      <c r="C2120" s="231" t="s">
        <v>112</v>
      </c>
      <c r="D2120" s="401">
        <v>1.1000000000000001</v>
      </c>
      <c r="E2120" s="959">
        <f>Insumos!$C$242</f>
        <v>6.4064000000000005</v>
      </c>
      <c r="F2120" s="959"/>
      <c r="G2120" s="958">
        <f t="shared" si="87"/>
        <v>7.05</v>
      </c>
      <c r="H2120" s="958"/>
    </row>
    <row r="2121" spans="1:10">
      <c r="A2121" s="398"/>
      <c r="B2121" s="955" t="s">
        <v>536</v>
      </c>
      <c r="C2121" s="955"/>
      <c r="D2121" s="955"/>
      <c r="E2121" s="389"/>
      <c r="F2121" s="409"/>
      <c r="G2121" s="410"/>
      <c r="H2121" s="249">
        <f>SUM(G2118)</f>
        <v>153.38</v>
      </c>
    </row>
    <row r="2122" spans="1:10">
      <c r="A2122" s="398"/>
      <c r="B2122" s="955" t="s">
        <v>537</v>
      </c>
      <c r="C2122" s="955"/>
      <c r="D2122" s="955"/>
      <c r="E2122" s="389"/>
      <c r="F2122" s="409"/>
      <c r="G2122" s="410"/>
      <c r="H2122" s="249">
        <f>SUM(G2119:H2120)</f>
        <v>20.55</v>
      </c>
    </row>
    <row r="2123" spans="1:10">
      <c r="A2123" s="398"/>
      <c r="B2123" s="955" t="s">
        <v>1937</v>
      </c>
      <c r="C2123" s="955"/>
      <c r="D2123" s="955"/>
      <c r="E2123" s="389"/>
      <c r="F2123" s="409"/>
      <c r="G2123" s="410"/>
      <c r="H2123" s="249">
        <f>SUM(H2121:H2122)</f>
        <v>173.93</v>
      </c>
    </row>
    <row r="2124" spans="1:10">
      <c r="A2124" s="398"/>
      <c r="B2124" s="955" t="s">
        <v>538</v>
      </c>
      <c r="C2124" s="955"/>
      <c r="D2124" s="955"/>
      <c r="E2124" s="389"/>
      <c r="F2124" s="411" t="s">
        <v>539</v>
      </c>
      <c r="G2124" s="410"/>
      <c r="H2124" s="249">
        <f>H2123*0.2496</f>
        <v>43.412928000000001</v>
      </c>
    </row>
    <row r="2125" spans="1:10">
      <c r="A2125" s="398"/>
      <c r="B2125" s="956" t="s">
        <v>540</v>
      </c>
      <c r="C2125" s="956"/>
      <c r="D2125" s="956"/>
      <c r="E2125" s="740"/>
      <c r="F2125" s="768"/>
      <c r="G2125" s="769"/>
      <c r="H2125" s="770">
        <f>SUM(H2123:H2124)</f>
        <v>217.342928</v>
      </c>
    </row>
    <row r="2126" spans="1:10" s="579" customFormat="1">
      <c r="A2126" s="601"/>
      <c r="B2126" s="780"/>
      <c r="C2126" s="780"/>
      <c r="D2126" s="780"/>
      <c r="E2126" s="740"/>
      <c r="F2126" s="768"/>
      <c r="G2126" s="769"/>
      <c r="H2126" s="770"/>
      <c r="I2126" s="400"/>
      <c r="J2126" s="404"/>
    </row>
    <row r="2127" spans="1:10" ht="32.1" customHeight="1">
      <c r="A2127" s="403" t="s">
        <v>2469</v>
      </c>
      <c r="B2127" s="960" t="s">
        <v>1564</v>
      </c>
      <c r="C2127" s="960"/>
      <c r="D2127" s="960"/>
      <c r="E2127" s="960"/>
      <c r="F2127" s="960"/>
      <c r="G2127" s="406"/>
      <c r="H2127" s="403" t="s">
        <v>97</v>
      </c>
    </row>
    <row r="2128" spans="1:10">
      <c r="A2128" s="398"/>
      <c r="B2128" s="230" t="s">
        <v>535</v>
      </c>
      <c r="C2128" s="231" t="s">
        <v>112</v>
      </c>
      <c r="D2128" s="436">
        <v>2.9300737411111113</v>
      </c>
      <c r="E2128" s="959">
        <f>Insumos!$C$775</f>
        <v>6.4064000000000005</v>
      </c>
      <c r="F2128" s="959"/>
      <c r="G2128" s="958">
        <f t="shared" ref="G2128" si="88">ROUND(D2128*E2128,2)</f>
        <v>18.77</v>
      </c>
      <c r="H2128" s="958"/>
    </row>
    <row r="2129" spans="1:10">
      <c r="A2129" s="398"/>
      <c r="B2129" s="955" t="s">
        <v>536</v>
      </c>
      <c r="C2129" s="955"/>
      <c r="D2129" s="955"/>
      <c r="E2129" s="389"/>
      <c r="F2129" s="409"/>
      <c r="G2129" s="410"/>
      <c r="H2129" s="249">
        <v>0</v>
      </c>
    </row>
    <row r="2130" spans="1:10">
      <c r="A2130" s="398"/>
      <c r="B2130" s="955" t="s">
        <v>537</v>
      </c>
      <c r="C2130" s="955"/>
      <c r="D2130" s="955"/>
      <c r="E2130" s="389"/>
      <c r="F2130" s="409"/>
      <c r="G2130" s="410"/>
      <c r="H2130" s="249">
        <f>SUM(G2128)</f>
        <v>18.77</v>
      </c>
    </row>
    <row r="2131" spans="1:10">
      <c r="A2131" s="398"/>
      <c r="B2131" s="955" t="s">
        <v>1937</v>
      </c>
      <c r="C2131" s="955"/>
      <c r="D2131" s="955"/>
      <c r="E2131" s="389"/>
      <c r="F2131" s="409"/>
      <c r="G2131" s="410"/>
      <c r="H2131" s="249">
        <f>SUM(H2129:H2130)</f>
        <v>18.77</v>
      </c>
    </row>
    <row r="2132" spans="1:10">
      <c r="A2132" s="398"/>
      <c r="B2132" s="955" t="s">
        <v>538</v>
      </c>
      <c r="C2132" s="955"/>
      <c r="D2132" s="955"/>
      <c r="E2132" s="389"/>
      <c r="F2132" s="411" t="s">
        <v>539</v>
      </c>
      <c r="G2132" s="410"/>
      <c r="H2132" s="249">
        <f>H2131*0.2496</f>
        <v>4.6849919999999994</v>
      </c>
    </row>
    <row r="2133" spans="1:10">
      <c r="A2133" s="398"/>
      <c r="B2133" s="956" t="s">
        <v>540</v>
      </c>
      <c r="C2133" s="956"/>
      <c r="D2133" s="956"/>
      <c r="E2133" s="740"/>
      <c r="F2133" s="768"/>
      <c r="G2133" s="769"/>
      <c r="H2133" s="770">
        <f>SUM(H2131:H2132)</f>
        <v>23.454991999999997</v>
      </c>
    </row>
    <row r="2134" spans="1:10" s="579" customFormat="1">
      <c r="A2134" s="601"/>
      <c r="B2134" s="780"/>
      <c r="C2134" s="780"/>
      <c r="D2134" s="780"/>
      <c r="E2134" s="740"/>
      <c r="F2134" s="768"/>
      <c r="G2134" s="769"/>
      <c r="H2134" s="770"/>
      <c r="I2134" s="400"/>
      <c r="J2134" s="404"/>
    </row>
    <row r="2135" spans="1:10" s="167" customFormat="1" ht="21" customHeight="1">
      <c r="A2135" s="753">
        <v>19</v>
      </c>
      <c r="B2135" s="971" t="s">
        <v>1934</v>
      </c>
      <c r="C2135" s="971"/>
      <c r="D2135" s="971"/>
      <c r="E2135" s="971"/>
      <c r="F2135" s="971"/>
      <c r="G2135" s="790"/>
      <c r="H2135" s="791"/>
      <c r="I2135" s="326"/>
      <c r="J2135" s="344"/>
    </row>
    <row r="2136" spans="1:10" s="167" customFormat="1" ht="15">
      <c r="A2136" s="756" t="s">
        <v>2470</v>
      </c>
      <c r="B2136" s="975" t="s">
        <v>1783</v>
      </c>
      <c r="C2136" s="975"/>
      <c r="D2136" s="975"/>
      <c r="E2136" s="975"/>
      <c r="F2136" s="975"/>
      <c r="G2136" s="792"/>
      <c r="H2136" s="793"/>
      <c r="I2136" s="326"/>
      <c r="J2136" s="344"/>
    </row>
    <row r="2137" spans="1:10">
      <c r="A2137" s="403" t="s">
        <v>2471</v>
      </c>
      <c r="B2137" s="961" t="s">
        <v>745</v>
      </c>
      <c r="C2137" s="961"/>
      <c r="D2137" s="961"/>
      <c r="E2137" s="961"/>
      <c r="F2137" s="961"/>
      <c r="G2137" s="402"/>
      <c r="H2137" s="403" t="s">
        <v>14</v>
      </c>
    </row>
    <row r="2138" spans="1:10">
      <c r="A2138" s="398"/>
      <c r="B2138" s="230" t="s">
        <v>745</v>
      </c>
      <c r="C2138" s="231" t="s">
        <v>14</v>
      </c>
      <c r="D2138" s="401">
        <v>1</v>
      </c>
      <c r="E2138" s="959">
        <f>Insumos!C517</f>
        <v>0.6825</v>
      </c>
      <c r="F2138" s="959"/>
      <c r="G2138" s="958">
        <f t="shared" ref="G2138:G2143" si="89">ROUND(D2138*E2138,2)</f>
        <v>0.68</v>
      </c>
      <c r="H2138" s="958"/>
    </row>
    <row r="2139" spans="1:10">
      <c r="A2139" s="398"/>
      <c r="B2139" s="230" t="s">
        <v>746</v>
      </c>
      <c r="C2139" s="231" t="s">
        <v>492</v>
      </c>
      <c r="D2139" s="401">
        <v>2.8999999999999998E-3</v>
      </c>
      <c r="E2139" s="959">
        <f>Insumos!C518</f>
        <v>25.898600000000002</v>
      </c>
      <c r="F2139" s="959"/>
      <c r="G2139" s="958">
        <f t="shared" si="89"/>
        <v>0.08</v>
      </c>
      <c r="H2139" s="958"/>
    </row>
    <row r="2140" spans="1:10">
      <c r="A2140" s="398"/>
      <c r="B2140" s="230" t="s">
        <v>713</v>
      </c>
      <c r="C2140" s="231" t="s">
        <v>14</v>
      </c>
      <c r="D2140" s="401">
        <v>9.4000000000000004E-3</v>
      </c>
      <c r="E2140" s="959">
        <f>Insumos!C519</f>
        <v>3.1395000000000004</v>
      </c>
      <c r="F2140" s="959"/>
      <c r="G2140" s="958">
        <f t="shared" si="89"/>
        <v>0.03</v>
      </c>
      <c r="H2140" s="958"/>
    </row>
    <row r="2141" spans="1:10">
      <c r="A2141" s="398"/>
      <c r="B2141" s="230" t="s">
        <v>747</v>
      </c>
      <c r="C2141" s="231" t="s">
        <v>14</v>
      </c>
      <c r="D2141" s="401">
        <v>4.0000000000000001E-3</v>
      </c>
      <c r="E2141" s="959">
        <f>Insumos!C520</f>
        <v>30.676100000000002</v>
      </c>
      <c r="F2141" s="959"/>
      <c r="G2141" s="958">
        <f t="shared" si="89"/>
        <v>0.12</v>
      </c>
      <c r="H2141" s="958"/>
    </row>
    <row r="2142" spans="1:10">
      <c r="A2142" s="398"/>
      <c r="B2142" s="230" t="s">
        <v>516</v>
      </c>
      <c r="C2142" s="231" t="s">
        <v>112</v>
      </c>
      <c r="D2142" s="401">
        <v>7.1999999999999995E-2</v>
      </c>
      <c r="E2142" s="959">
        <f>Insumos!C521</f>
        <v>7.0798000000000005</v>
      </c>
      <c r="F2142" s="959"/>
      <c r="G2142" s="958">
        <f t="shared" si="89"/>
        <v>0.51</v>
      </c>
      <c r="H2142" s="958"/>
    </row>
    <row r="2143" spans="1:10">
      <c r="A2143" s="398"/>
      <c r="B2143" s="230" t="s">
        <v>517</v>
      </c>
      <c r="C2143" s="231" t="s">
        <v>112</v>
      </c>
      <c r="D2143" s="401">
        <v>7.1999999999999995E-2</v>
      </c>
      <c r="E2143" s="959">
        <f>Insumos!C522</f>
        <v>8.6722999999999999</v>
      </c>
      <c r="F2143" s="959"/>
      <c r="G2143" s="958">
        <f t="shared" si="89"/>
        <v>0.62</v>
      </c>
      <c r="H2143" s="958"/>
    </row>
    <row r="2144" spans="1:10" s="406" customFormat="1" ht="15">
      <c r="A2144" s="398"/>
      <c r="B2144" s="955" t="s">
        <v>536</v>
      </c>
      <c r="C2144" s="955"/>
      <c r="D2144" s="955"/>
      <c r="E2144" s="389"/>
      <c r="F2144" s="409"/>
      <c r="G2144" s="410"/>
      <c r="H2144" s="249">
        <f>SUM(G2138:H2141)</f>
        <v>0.91</v>
      </c>
      <c r="I2144" s="407"/>
      <c r="J2144" s="408"/>
    </row>
    <row r="2145" spans="1:10">
      <c r="A2145" s="398"/>
      <c r="B2145" s="955" t="s">
        <v>537</v>
      </c>
      <c r="C2145" s="955"/>
      <c r="D2145" s="955"/>
      <c r="E2145" s="389"/>
      <c r="F2145" s="409"/>
      <c r="G2145" s="410"/>
      <c r="H2145" s="249">
        <f>SUM(G2142:H2143)</f>
        <v>1.1299999999999999</v>
      </c>
    </row>
    <row r="2146" spans="1:10">
      <c r="A2146" s="398"/>
      <c r="B2146" s="955" t="s">
        <v>1937</v>
      </c>
      <c r="C2146" s="955"/>
      <c r="D2146" s="955"/>
      <c r="E2146" s="389"/>
      <c r="F2146" s="409"/>
      <c r="G2146" s="410"/>
      <c r="H2146" s="249">
        <f>SUM(H2144:H2145)</f>
        <v>2.04</v>
      </c>
    </row>
    <row r="2147" spans="1:10">
      <c r="A2147" s="398"/>
      <c r="B2147" s="955" t="s">
        <v>538</v>
      </c>
      <c r="C2147" s="955"/>
      <c r="D2147" s="955"/>
      <c r="E2147" s="389"/>
      <c r="F2147" s="411" t="s">
        <v>539</v>
      </c>
      <c r="G2147" s="410"/>
      <c r="H2147" s="249">
        <f>ROUND(H2146*F2147,2)</f>
        <v>0.51</v>
      </c>
    </row>
    <row r="2148" spans="1:10">
      <c r="A2148" s="398"/>
      <c r="B2148" s="956" t="s">
        <v>540</v>
      </c>
      <c r="C2148" s="956"/>
      <c r="D2148" s="956"/>
      <c r="E2148" s="740"/>
      <c r="F2148" s="768"/>
      <c r="G2148" s="769"/>
      <c r="H2148" s="770">
        <f>SUM(H2146:H2147)</f>
        <v>2.5499999999999998</v>
      </c>
    </row>
    <row r="2149" spans="1:10" s="579" customFormat="1">
      <c r="A2149" s="601"/>
      <c r="B2149" s="780"/>
      <c r="C2149" s="780"/>
      <c r="D2149" s="780"/>
      <c r="E2149" s="740"/>
      <c r="F2149" s="768"/>
      <c r="G2149" s="769"/>
      <c r="H2149" s="770"/>
      <c r="I2149" s="400"/>
      <c r="J2149" s="404"/>
    </row>
    <row r="2150" spans="1:10">
      <c r="A2150" s="403" t="s">
        <v>2472</v>
      </c>
      <c r="B2150" s="961" t="s">
        <v>748</v>
      </c>
      <c r="C2150" s="961"/>
      <c r="D2150" s="961"/>
      <c r="E2150" s="961"/>
      <c r="F2150" s="961"/>
      <c r="G2150" s="402"/>
      <c r="H2150" s="403" t="s">
        <v>14</v>
      </c>
    </row>
    <row r="2151" spans="1:10">
      <c r="A2151" s="398"/>
      <c r="B2151" s="230" t="s">
        <v>748</v>
      </c>
      <c r="C2151" s="231" t="s">
        <v>14</v>
      </c>
      <c r="D2151" s="401">
        <v>1</v>
      </c>
      <c r="E2151" s="959">
        <f>Insumos!C523</f>
        <v>1.4378000000000002</v>
      </c>
      <c r="F2151" s="959"/>
      <c r="G2151" s="958">
        <f t="shared" ref="G2151:G2156" si="90">ROUND(D2151*E2151,2)</f>
        <v>1.44</v>
      </c>
      <c r="H2151" s="958"/>
    </row>
    <row r="2152" spans="1:10">
      <c r="A2152" s="398"/>
      <c r="B2152" s="230" t="s">
        <v>746</v>
      </c>
      <c r="C2152" s="231" t="s">
        <v>492</v>
      </c>
      <c r="D2152" s="401">
        <v>2.8999999999999998E-3</v>
      </c>
      <c r="E2152" s="959">
        <f>Insumos!C524</f>
        <v>25.898600000000002</v>
      </c>
      <c r="F2152" s="959"/>
      <c r="G2152" s="958">
        <f t="shared" si="90"/>
        <v>0.08</v>
      </c>
      <c r="H2152" s="958"/>
    </row>
    <row r="2153" spans="1:10">
      <c r="A2153" s="398"/>
      <c r="B2153" s="230" t="s">
        <v>713</v>
      </c>
      <c r="C2153" s="231" t="s">
        <v>14</v>
      </c>
      <c r="D2153" s="401">
        <v>9.4000000000000004E-3</v>
      </c>
      <c r="E2153" s="959">
        <f>Insumos!C525</f>
        <v>3.1395000000000004</v>
      </c>
      <c r="F2153" s="959"/>
      <c r="G2153" s="958">
        <f t="shared" si="90"/>
        <v>0.03</v>
      </c>
      <c r="H2153" s="958"/>
    </row>
    <row r="2154" spans="1:10">
      <c r="A2154" s="398"/>
      <c r="B2154" s="230" t="s">
        <v>747</v>
      </c>
      <c r="C2154" s="231" t="s">
        <v>14</v>
      </c>
      <c r="D2154" s="401">
        <v>4.0000000000000001E-3</v>
      </c>
      <c r="E2154" s="959">
        <f>Insumos!C526</f>
        <v>30.676100000000002</v>
      </c>
      <c r="F2154" s="959"/>
      <c r="G2154" s="958">
        <f t="shared" si="90"/>
        <v>0.12</v>
      </c>
      <c r="H2154" s="958"/>
    </row>
    <row r="2155" spans="1:10">
      <c r="A2155" s="398"/>
      <c r="B2155" s="230" t="s">
        <v>517</v>
      </c>
      <c r="C2155" s="231" t="s">
        <v>112</v>
      </c>
      <c r="D2155" s="401">
        <v>7.1999999999999995E-2</v>
      </c>
      <c r="E2155" s="959">
        <f>Insumos!C527</f>
        <v>8.6722999999999999</v>
      </c>
      <c r="F2155" s="959"/>
      <c r="G2155" s="958">
        <f t="shared" si="90"/>
        <v>0.62</v>
      </c>
      <c r="H2155" s="958"/>
    </row>
    <row r="2156" spans="1:10" s="406" customFormat="1" ht="15">
      <c r="A2156" s="398"/>
      <c r="B2156" s="230" t="s">
        <v>516</v>
      </c>
      <c r="C2156" s="231" t="s">
        <v>112</v>
      </c>
      <c r="D2156" s="401">
        <v>7.1999999999999995E-2</v>
      </c>
      <c r="E2156" s="959">
        <f>Insumos!C528</f>
        <v>7.0798000000000005</v>
      </c>
      <c r="F2156" s="959"/>
      <c r="G2156" s="958">
        <f t="shared" si="90"/>
        <v>0.51</v>
      </c>
      <c r="H2156" s="958"/>
      <c r="I2156" s="407"/>
      <c r="J2156" s="408"/>
    </row>
    <row r="2157" spans="1:10">
      <c r="A2157" s="398"/>
      <c r="B2157" s="955" t="s">
        <v>536</v>
      </c>
      <c r="C2157" s="955"/>
      <c r="D2157" s="955"/>
      <c r="E2157" s="389"/>
      <c r="F2157" s="409"/>
      <c r="G2157" s="410"/>
      <c r="H2157" s="249">
        <f>SUM(G2151:H2154)</f>
        <v>1.67</v>
      </c>
    </row>
    <row r="2158" spans="1:10">
      <c r="A2158" s="398"/>
      <c r="B2158" s="955" t="s">
        <v>537</v>
      </c>
      <c r="C2158" s="955"/>
      <c r="D2158" s="955"/>
      <c r="E2158" s="389"/>
      <c r="F2158" s="409"/>
      <c r="G2158" s="410"/>
      <c r="H2158" s="249">
        <f>SUM(G2155:H2156)</f>
        <v>1.1299999999999999</v>
      </c>
    </row>
    <row r="2159" spans="1:10">
      <c r="A2159" s="398"/>
      <c r="B2159" s="955" t="s">
        <v>1937</v>
      </c>
      <c r="C2159" s="955"/>
      <c r="D2159" s="955"/>
      <c r="E2159" s="389"/>
      <c r="F2159" s="409"/>
      <c r="G2159" s="410"/>
      <c r="H2159" s="249">
        <f>SUM(H2157:H2158)</f>
        <v>2.8</v>
      </c>
    </row>
    <row r="2160" spans="1:10">
      <c r="A2160" s="398"/>
      <c r="B2160" s="955" t="s">
        <v>538</v>
      </c>
      <c r="C2160" s="955"/>
      <c r="D2160" s="955"/>
      <c r="E2160" s="389"/>
      <c r="F2160" s="411" t="s">
        <v>539</v>
      </c>
      <c r="G2160" s="410"/>
      <c r="H2160" s="249">
        <f>ROUND(H2159*F2160,2)</f>
        <v>0.7</v>
      </c>
    </row>
    <row r="2161" spans="1:10">
      <c r="A2161" s="398"/>
      <c r="B2161" s="956" t="s">
        <v>540</v>
      </c>
      <c r="C2161" s="956"/>
      <c r="D2161" s="956"/>
      <c r="E2161" s="740"/>
      <c r="F2161" s="768"/>
      <c r="G2161" s="769"/>
      <c r="H2161" s="770">
        <f>SUM(H2159:H2160)</f>
        <v>3.5</v>
      </c>
    </row>
    <row r="2162" spans="1:10" s="579" customFormat="1">
      <c r="A2162" s="601"/>
      <c r="B2162" s="780"/>
      <c r="C2162" s="780"/>
      <c r="D2162" s="780"/>
      <c r="E2162" s="740"/>
      <c r="F2162" s="768"/>
      <c r="G2162" s="769"/>
      <c r="H2162" s="770"/>
      <c r="I2162" s="400"/>
      <c r="J2162" s="404"/>
    </row>
    <row r="2163" spans="1:10">
      <c r="A2163" s="403" t="s">
        <v>2473</v>
      </c>
      <c r="B2163" s="961" t="s">
        <v>749</v>
      </c>
      <c r="C2163" s="961"/>
      <c r="D2163" s="961"/>
      <c r="E2163" s="961"/>
      <c r="F2163" s="961"/>
      <c r="G2163" s="402" t="s">
        <v>14</v>
      </c>
      <c r="H2163" s="403" t="s">
        <v>14</v>
      </c>
    </row>
    <row r="2164" spans="1:10">
      <c r="A2164" s="398"/>
      <c r="B2164" s="230" t="s">
        <v>750</v>
      </c>
      <c r="C2164" s="231" t="s">
        <v>14</v>
      </c>
      <c r="D2164" s="401">
        <v>1</v>
      </c>
      <c r="E2164" s="959">
        <f>Insumos!C529</f>
        <v>3.7583000000000002</v>
      </c>
      <c r="F2164" s="959"/>
      <c r="G2164" s="958">
        <f t="shared" ref="G2164:G2169" si="91">ROUND(D2164*E2164,2)</f>
        <v>3.76</v>
      </c>
      <c r="H2164" s="958"/>
    </row>
    <row r="2165" spans="1:10">
      <c r="A2165" s="398"/>
      <c r="B2165" s="230" t="s">
        <v>746</v>
      </c>
      <c r="C2165" s="231" t="s">
        <v>492</v>
      </c>
      <c r="D2165" s="401">
        <v>3.0000000000000001E-3</v>
      </c>
      <c r="E2165" s="959">
        <f>Insumos!C530</f>
        <v>25.898600000000002</v>
      </c>
      <c r="F2165" s="959"/>
      <c r="G2165" s="958">
        <f t="shared" si="91"/>
        <v>0.08</v>
      </c>
      <c r="H2165" s="958"/>
    </row>
    <row r="2166" spans="1:10">
      <c r="A2166" s="398"/>
      <c r="B2166" s="230" t="s">
        <v>713</v>
      </c>
      <c r="C2166" s="231" t="s">
        <v>14</v>
      </c>
      <c r="D2166" s="401">
        <v>1.6E-2</v>
      </c>
      <c r="E2166" s="959">
        <f>Insumos!C531</f>
        <v>3.1395000000000004</v>
      </c>
      <c r="F2166" s="959"/>
      <c r="G2166" s="958">
        <f t="shared" si="91"/>
        <v>0.05</v>
      </c>
      <c r="H2166" s="958"/>
    </row>
    <row r="2167" spans="1:10">
      <c r="A2167" s="398"/>
      <c r="B2167" s="230" t="s">
        <v>747</v>
      </c>
      <c r="C2167" s="231" t="s">
        <v>14</v>
      </c>
      <c r="D2167" s="401">
        <v>5.0000000000000001E-3</v>
      </c>
      <c r="E2167" s="959">
        <f>Insumos!C532</f>
        <v>30.676100000000002</v>
      </c>
      <c r="F2167" s="959"/>
      <c r="G2167" s="958">
        <f t="shared" si="91"/>
        <v>0.15</v>
      </c>
      <c r="H2167" s="958"/>
    </row>
    <row r="2168" spans="1:10" s="406" customFormat="1" ht="15">
      <c r="A2168" s="398"/>
      <c r="B2168" s="230" t="s">
        <v>516</v>
      </c>
      <c r="C2168" s="231" t="s">
        <v>112</v>
      </c>
      <c r="D2168" s="401">
        <v>0.25</v>
      </c>
      <c r="E2168" s="959">
        <f>Insumos!C533</f>
        <v>7.0798000000000005</v>
      </c>
      <c r="F2168" s="959"/>
      <c r="G2168" s="958">
        <f t="shared" si="91"/>
        <v>1.77</v>
      </c>
      <c r="H2168" s="958"/>
      <c r="I2168" s="407"/>
      <c r="J2168" s="408"/>
    </row>
    <row r="2169" spans="1:10">
      <c r="A2169" s="398"/>
      <c r="B2169" s="230" t="s">
        <v>517</v>
      </c>
      <c r="C2169" s="231" t="s">
        <v>112</v>
      </c>
      <c r="D2169" s="401">
        <v>0.25</v>
      </c>
      <c r="E2169" s="959">
        <f>Insumos!C534</f>
        <v>8.6722999999999999</v>
      </c>
      <c r="F2169" s="959"/>
      <c r="G2169" s="958">
        <f t="shared" si="91"/>
        <v>2.17</v>
      </c>
      <c r="H2169" s="958"/>
    </row>
    <row r="2170" spans="1:10">
      <c r="A2170" s="398"/>
      <c r="B2170" s="955" t="s">
        <v>536</v>
      </c>
      <c r="C2170" s="955"/>
      <c r="D2170" s="955"/>
      <c r="E2170" s="389"/>
      <c r="F2170" s="409"/>
      <c r="G2170" s="410"/>
      <c r="H2170" s="249">
        <f>SUM(G2164:H2167)</f>
        <v>4.04</v>
      </c>
    </row>
    <row r="2171" spans="1:10">
      <c r="A2171" s="398"/>
      <c r="B2171" s="955" t="s">
        <v>537</v>
      </c>
      <c r="C2171" s="955"/>
      <c r="D2171" s="955"/>
      <c r="E2171" s="389"/>
      <c r="F2171" s="409"/>
      <c r="G2171" s="410"/>
      <c r="H2171" s="249">
        <f>SUM(G2168:H2169)</f>
        <v>3.94</v>
      </c>
    </row>
    <row r="2172" spans="1:10">
      <c r="A2172" s="398"/>
      <c r="B2172" s="955" t="s">
        <v>1937</v>
      </c>
      <c r="C2172" s="955"/>
      <c r="D2172" s="955"/>
      <c r="E2172" s="389"/>
      <c r="F2172" s="409"/>
      <c r="G2172" s="410"/>
      <c r="H2172" s="249">
        <f>SUM(H2170:H2171)</f>
        <v>7.98</v>
      </c>
    </row>
    <row r="2173" spans="1:10">
      <c r="A2173" s="398"/>
      <c r="B2173" s="955" t="s">
        <v>538</v>
      </c>
      <c r="C2173" s="955"/>
      <c r="D2173" s="955"/>
      <c r="E2173" s="389"/>
      <c r="F2173" s="411" t="s">
        <v>539</v>
      </c>
      <c r="G2173" s="410"/>
      <c r="H2173" s="249">
        <f>ROUND(H2172*F2173,2)</f>
        <v>1.99</v>
      </c>
    </row>
    <row r="2174" spans="1:10">
      <c r="A2174" s="398"/>
      <c r="B2174" s="956" t="s">
        <v>540</v>
      </c>
      <c r="C2174" s="956"/>
      <c r="D2174" s="956"/>
      <c r="E2174" s="740"/>
      <c r="F2174" s="768"/>
      <c r="G2174" s="769"/>
      <c r="H2174" s="770">
        <f>SUM(H2172:H2173)</f>
        <v>9.9700000000000006</v>
      </c>
    </row>
    <row r="2175" spans="1:10" s="579" customFormat="1">
      <c r="A2175" s="601"/>
      <c r="B2175" s="780"/>
      <c r="C2175" s="780"/>
      <c r="D2175" s="780"/>
      <c r="E2175" s="740"/>
      <c r="F2175" s="768"/>
      <c r="G2175" s="769"/>
      <c r="H2175" s="770"/>
      <c r="I2175" s="400"/>
      <c r="J2175" s="404"/>
    </row>
    <row r="2176" spans="1:10">
      <c r="A2176" s="403" t="s">
        <v>2474</v>
      </c>
      <c r="B2176" s="961" t="s">
        <v>751</v>
      </c>
      <c r="C2176" s="961"/>
      <c r="D2176" s="961"/>
      <c r="E2176" s="961"/>
      <c r="F2176" s="961"/>
      <c r="G2176" s="402"/>
      <c r="H2176" s="403" t="s">
        <v>14</v>
      </c>
    </row>
    <row r="2177" spans="1:10">
      <c r="A2177" s="398"/>
      <c r="B2177" s="230" t="s">
        <v>746</v>
      </c>
      <c r="C2177" s="231" t="s">
        <v>492</v>
      </c>
      <c r="D2177" s="401">
        <v>0.04</v>
      </c>
      <c r="E2177" s="959">
        <f>Insumos!C535</f>
        <v>25.898600000000002</v>
      </c>
      <c r="F2177" s="959"/>
      <c r="G2177" s="958">
        <f t="shared" ref="G2177:G2182" si="92">ROUND(D2177*E2177,2)</f>
        <v>1.04</v>
      </c>
      <c r="H2177" s="958"/>
    </row>
    <row r="2178" spans="1:10">
      <c r="A2178" s="398"/>
      <c r="B2178" s="230" t="s">
        <v>713</v>
      </c>
      <c r="C2178" s="231" t="s">
        <v>14</v>
      </c>
      <c r="D2178" s="401">
        <v>1.1499999999999999</v>
      </c>
      <c r="E2178" s="959">
        <f>Insumos!C536</f>
        <v>3.1395000000000004</v>
      </c>
      <c r="F2178" s="959"/>
      <c r="G2178" s="958">
        <f t="shared" si="92"/>
        <v>3.61</v>
      </c>
      <c r="H2178" s="958"/>
    </row>
    <row r="2179" spans="1:10">
      <c r="A2179" s="398"/>
      <c r="B2179" s="230" t="s">
        <v>747</v>
      </c>
      <c r="C2179" s="231" t="s">
        <v>14</v>
      </c>
      <c r="D2179" s="401">
        <v>3.5000000000000003E-2</v>
      </c>
      <c r="E2179" s="959">
        <f>Insumos!C537</f>
        <v>30.676100000000002</v>
      </c>
      <c r="F2179" s="959"/>
      <c r="G2179" s="958">
        <f t="shared" si="92"/>
        <v>1.07</v>
      </c>
      <c r="H2179" s="958"/>
    </row>
    <row r="2180" spans="1:10" s="406" customFormat="1" ht="15">
      <c r="A2180" s="398"/>
      <c r="B2180" s="230" t="s">
        <v>752</v>
      </c>
      <c r="C2180" s="231" t="s">
        <v>14</v>
      </c>
      <c r="D2180" s="401">
        <v>1</v>
      </c>
      <c r="E2180" s="959">
        <f>Insumos!C538</f>
        <v>19.319300000000002</v>
      </c>
      <c r="F2180" s="959"/>
      <c r="G2180" s="958">
        <f t="shared" si="92"/>
        <v>19.32</v>
      </c>
      <c r="H2180" s="958"/>
      <c r="I2180" s="407"/>
      <c r="J2180" s="408"/>
    </row>
    <row r="2181" spans="1:10">
      <c r="A2181" s="398"/>
      <c r="B2181" s="230" t="s">
        <v>516</v>
      </c>
      <c r="C2181" s="231" t="s">
        <v>112</v>
      </c>
      <c r="D2181" s="401">
        <v>0.3</v>
      </c>
      <c r="E2181" s="959">
        <f>Insumos!C539</f>
        <v>7.0798000000000005</v>
      </c>
      <c r="F2181" s="959"/>
      <c r="G2181" s="958">
        <f t="shared" si="92"/>
        <v>2.12</v>
      </c>
      <c r="H2181" s="958"/>
    </row>
    <row r="2182" spans="1:10">
      <c r="A2182" s="398"/>
      <c r="B2182" s="230" t="s">
        <v>517</v>
      </c>
      <c r="C2182" s="231" t="s">
        <v>112</v>
      </c>
      <c r="D2182" s="401">
        <v>0.3</v>
      </c>
      <c r="E2182" s="959">
        <f>Insumos!C540</f>
        <v>8.6722999999999999</v>
      </c>
      <c r="F2182" s="959"/>
      <c r="G2182" s="958">
        <f t="shared" si="92"/>
        <v>2.6</v>
      </c>
      <c r="H2182" s="958"/>
    </row>
    <row r="2183" spans="1:10">
      <c r="A2183" s="398"/>
      <c r="B2183" s="955" t="s">
        <v>536</v>
      </c>
      <c r="C2183" s="955"/>
      <c r="D2183" s="955"/>
      <c r="E2183" s="389"/>
      <c r="F2183" s="409"/>
      <c r="G2183" s="410"/>
      <c r="H2183" s="249">
        <f>SUM(G2177:H2180)</f>
        <v>25.04</v>
      </c>
    </row>
    <row r="2184" spans="1:10">
      <c r="A2184" s="398"/>
      <c r="B2184" s="955" t="s">
        <v>537</v>
      </c>
      <c r="C2184" s="955"/>
      <c r="D2184" s="955"/>
      <c r="E2184" s="389"/>
      <c r="F2184" s="409"/>
      <c r="G2184" s="410"/>
      <c r="H2184" s="249">
        <f>SUM(G2181:H2182)</f>
        <v>4.7200000000000006</v>
      </c>
    </row>
    <row r="2185" spans="1:10">
      <c r="A2185" s="398"/>
      <c r="B2185" s="955" t="s">
        <v>1937</v>
      </c>
      <c r="C2185" s="955"/>
      <c r="D2185" s="955"/>
      <c r="E2185" s="389"/>
      <c r="F2185" s="409"/>
      <c r="G2185" s="410"/>
      <c r="H2185" s="249">
        <f>SUM(H2183:H2184)</f>
        <v>29.759999999999998</v>
      </c>
    </row>
    <row r="2186" spans="1:10">
      <c r="A2186" s="398"/>
      <c r="B2186" s="955" t="s">
        <v>538</v>
      </c>
      <c r="C2186" s="955"/>
      <c r="D2186" s="955"/>
      <c r="E2186" s="389"/>
      <c r="F2186" s="411" t="s">
        <v>539</v>
      </c>
      <c r="G2186" s="410"/>
      <c r="H2186" s="249">
        <f>ROUND(H2185*F2186,2)</f>
        <v>7.43</v>
      </c>
    </row>
    <row r="2187" spans="1:10">
      <c r="A2187" s="398"/>
      <c r="B2187" s="956" t="s">
        <v>540</v>
      </c>
      <c r="C2187" s="956"/>
      <c r="D2187" s="956"/>
      <c r="E2187" s="740"/>
      <c r="F2187" s="768"/>
      <c r="G2187" s="769"/>
      <c r="H2187" s="770">
        <f>SUM(H2185:H2186)</f>
        <v>37.19</v>
      </c>
    </row>
    <row r="2188" spans="1:10" s="579" customFormat="1">
      <c r="A2188" s="601"/>
      <c r="B2188" s="780"/>
      <c r="C2188" s="780"/>
      <c r="D2188" s="780"/>
      <c r="E2188" s="740"/>
      <c r="F2188" s="768"/>
      <c r="G2188" s="769"/>
      <c r="H2188" s="770"/>
      <c r="I2188" s="400"/>
      <c r="J2188" s="404"/>
    </row>
    <row r="2189" spans="1:10">
      <c r="A2189" s="403" t="s">
        <v>2475</v>
      </c>
      <c r="B2189" s="961" t="s">
        <v>753</v>
      </c>
      <c r="C2189" s="961"/>
      <c r="D2189" s="961"/>
      <c r="E2189" s="961"/>
      <c r="F2189" s="961"/>
      <c r="G2189" s="402"/>
      <c r="H2189" s="403" t="s">
        <v>14</v>
      </c>
    </row>
    <row r="2190" spans="1:10">
      <c r="A2190" s="398"/>
      <c r="B2190" s="230" t="s">
        <v>754</v>
      </c>
      <c r="C2190" s="231" t="s">
        <v>14</v>
      </c>
      <c r="D2190" s="401">
        <v>1</v>
      </c>
      <c r="E2190" s="964">
        <f>Insumos!C541</f>
        <v>1.2194</v>
      </c>
      <c r="F2190" s="964"/>
      <c r="G2190" s="958">
        <f>ROUND(D2190*E2190,2)</f>
        <v>1.22</v>
      </c>
      <c r="H2190" s="958"/>
    </row>
    <row r="2191" spans="1:10">
      <c r="A2191" s="398"/>
      <c r="B2191" s="230" t="s">
        <v>746</v>
      </c>
      <c r="C2191" s="231" t="s">
        <v>492</v>
      </c>
      <c r="D2191" s="401">
        <v>3.0000000000000001E-3</v>
      </c>
      <c r="E2191" s="964">
        <f>Insumos!C542</f>
        <v>25.898600000000002</v>
      </c>
      <c r="F2191" s="964"/>
      <c r="G2191" s="958">
        <f>ROUND(D2191*E2191,2)</f>
        <v>0.08</v>
      </c>
      <c r="H2191" s="958"/>
    </row>
    <row r="2192" spans="1:10" s="406" customFormat="1" ht="15">
      <c r="A2192" s="398"/>
      <c r="B2192" s="230" t="s">
        <v>747</v>
      </c>
      <c r="C2192" s="231" t="s">
        <v>14</v>
      </c>
      <c r="D2192" s="401">
        <v>4.0000000000000001E-3</v>
      </c>
      <c r="E2192" s="964">
        <f>Insumos!C543</f>
        <v>30.676100000000002</v>
      </c>
      <c r="F2192" s="964"/>
      <c r="G2192" s="958">
        <f>ROUND(D2192*E2192,2)</f>
        <v>0.12</v>
      </c>
      <c r="H2192" s="958"/>
      <c r="I2192" s="407"/>
      <c r="J2192" s="408"/>
    </row>
    <row r="2193" spans="1:11">
      <c r="A2193" s="398"/>
      <c r="B2193" s="230" t="s">
        <v>517</v>
      </c>
      <c r="C2193" s="231" t="s">
        <v>112</v>
      </c>
      <c r="D2193" s="401">
        <v>0.1</v>
      </c>
      <c r="E2193" s="964">
        <f>Insumos!C544</f>
        <v>8.6722999999999999</v>
      </c>
      <c r="F2193" s="964"/>
      <c r="G2193" s="958">
        <f>ROUND(D2193*E2193,2)</f>
        <v>0.87</v>
      </c>
      <c r="H2193" s="958"/>
    </row>
    <row r="2194" spans="1:11">
      <c r="A2194" s="398"/>
      <c r="B2194" s="230" t="s">
        <v>509</v>
      </c>
      <c r="C2194" s="231" t="s">
        <v>112</v>
      </c>
      <c r="D2194" s="401">
        <v>9.8000000000000004E-2</v>
      </c>
      <c r="E2194" s="964">
        <f>Insumos!C545</f>
        <v>6.4064000000000005</v>
      </c>
      <c r="F2194" s="964"/>
      <c r="G2194" s="958">
        <f>ROUND(D2194*E2194,2)</f>
        <v>0.63</v>
      </c>
      <c r="H2194" s="958"/>
      <c r="J2194" s="964"/>
      <c r="K2194" s="964"/>
    </row>
    <row r="2195" spans="1:11">
      <c r="A2195" s="398"/>
      <c r="B2195" s="955" t="s">
        <v>536</v>
      </c>
      <c r="C2195" s="955"/>
      <c r="D2195" s="955"/>
      <c r="E2195" s="389"/>
      <c r="F2195" s="409"/>
      <c r="G2195" s="410"/>
      <c r="H2195" s="249">
        <f>SUM(G2190:H2192)</f>
        <v>1.42</v>
      </c>
      <c r="J2195" s="964"/>
      <c r="K2195" s="964"/>
    </row>
    <row r="2196" spans="1:11">
      <c r="A2196" s="398"/>
      <c r="B2196" s="955" t="s">
        <v>537</v>
      </c>
      <c r="C2196" s="955"/>
      <c r="D2196" s="955"/>
      <c r="E2196" s="389"/>
      <c r="F2196" s="409"/>
      <c r="G2196" s="410"/>
      <c r="H2196" s="249">
        <f>SUM(G2193:H2194)</f>
        <v>1.5</v>
      </c>
    </row>
    <row r="2197" spans="1:11">
      <c r="A2197" s="398"/>
      <c r="B2197" s="955" t="s">
        <v>1937</v>
      </c>
      <c r="C2197" s="955"/>
      <c r="D2197" s="955"/>
      <c r="E2197" s="389"/>
      <c r="F2197" s="409"/>
      <c r="G2197" s="410"/>
      <c r="H2197" s="249">
        <f>SUM(H2195:H2196)</f>
        <v>2.92</v>
      </c>
    </row>
    <row r="2198" spans="1:11">
      <c r="A2198" s="398"/>
      <c r="B2198" s="955" t="s">
        <v>538</v>
      </c>
      <c r="C2198" s="955"/>
      <c r="D2198" s="955"/>
      <c r="E2198" s="389"/>
      <c r="F2198" s="411" t="s">
        <v>539</v>
      </c>
      <c r="G2198" s="410"/>
      <c r="H2198" s="249">
        <f>ROUND(H2197*F2198,2)</f>
        <v>0.73</v>
      </c>
    </row>
    <row r="2199" spans="1:11">
      <c r="A2199" s="398"/>
      <c r="B2199" s="956" t="s">
        <v>540</v>
      </c>
      <c r="C2199" s="956"/>
      <c r="D2199" s="956"/>
      <c r="E2199" s="740"/>
      <c r="F2199" s="768"/>
      <c r="G2199" s="769"/>
      <c r="H2199" s="770">
        <f>SUM(H2197:H2198)</f>
        <v>3.65</v>
      </c>
    </row>
    <row r="2200" spans="1:11" s="579" customFormat="1">
      <c r="A2200" s="601"/>
      <c r="B2200" s="780"/>
      <c r="C2200" s="780"/>
      <c r="D2200" s="780"/>
      <c r="E2200" s="740"/>
      <c r="F2200" s="768"/>
      <c r="G2200" s="769"/>
      <c r="H2200" s="770"/>
      <c r="I2200" s="400"/>
      <c r="J2200" s="404"/>
    </row>
    <row r="2201" spans="1:11">
      <c r="A2201" s="403" t="s">
        <v>2476</v>
      </c>
      <c r="B2201" s="961" t="s">
        <v>755</v>
      </c>
      <c r="C2201" s="961"/>
      <c r="D2201" s="961"/>
      <c r="E2201" s="961"/>
      <c r="F2201" s="961"/>
      <c r="G2201" s="402"/>
      <c r="H2201" s="403" t="s">
        <v>14</v>
      </c>
    </row>
    <row r="2202" spans="1:11">
      <c r="A2202" s="398"/>
      <c r="B2202" s="230" t="s">
        <v>756</v>
      </c>
      <c r="C2202" s="231" t="s">
        <v>14</v>
      </c>
      <c r="D2202" s="401">
        <v>1</v>
      </c>
      <c r="E2202" s="964">
        <f>Insumos!C546</f>
        <v>1.5925</v>
      </c>
      <c r="F2202" s="964"/>
      <c r="G2202" s="958">
        <f>ROUND(D2202*E2202,2)</f>
        <v>1.59</v>
      </c>
      <c r="H2202" s="958"/>
    </row>
    <row r="2203" spans="1:11">
      <c r="A2203" s="398"/>
      <c r="B2203" s="230" t="s">
        <v>746</v>
      </c>
      <c r="C2203" s="231" t="s">
        <v>492</v>
      </c>
      <c r="D2203" s="401">
        <v>3.5000000000000001E-3</v>
      </c>
      <c r="E2203" s="964">
        <f>Insumos!C547</f>
        <v>25.898600000000002</v>
      </c>
      <c r="F2203" s="964"/>
      <c r="G2203" s="958">
        <f>ROUND(D2203*E2203,2)</f>
        <v>0.09</v>
      </c>
      <c r="H2203" s="958"/>
    </row>
    <row r="2204" spans="1:11" s="406" customFormat="1" ht="15">
      <c r="A2204" s="398"/>
      <c r="B2204" s="230" t="s">
        <v>747</v>
      </c>
      <c r="C2204" s="231" t="s">
        <v>14</v>
      </c>
      <c r="D2204" s="401">
        <v>4.0000000000000001E-3</v>
      </c>
      <c r="E2204" s="964">
        <f>Insumos!C548</f>
        <v>30.676100000000002</v>
      </c>
      <c r="F2204" s="964"/>
      <c r="G2204" s="958">
        <f>ROUND(D2204*E2204,2)</f>
        <v>0.12</v>
      </c>
      <c r="H2204" s="958"/>
      <c r="I2204" s="407"/>
      <c r="J2204" s="408"/>
    </row>
    <row r="2205" spans="1:11">
      <c r="A2205" s="398"/>
      <c r="B2205" s="230" t="s">
        <v>517</v>
      </c>
      <c r="C2205" s="231" t="s">
        <v>112</v>
      </c>
      <c r="D2205" s="401">
        <v>0.1</v>
      </c>
      <c r="E2205" s="964">
        <f>Insumos!C549</f>
        <v>8.6722999999999999</v>
      </c>
      <c r="F2205" s="964"/>
      <c r="G2205" s="958">
        <f>ROUND(D2205*E2205,2)</f>
        <v>0.87</v>
      </c>
      <c r="H2205" s="958"/>
    </row>
    <row r="2206" spans="1:11">
      <c r="A2206" s="398"/>
      <c r="B2206" s="230" t="s">
        <v>516</v>
      </c>
      <c r="C2206" s="231" t="s">
        <v>112</v>
      </c>
      <c r="D2206" s="401">
        <v>0.1</v>
      </c>
      <c r="E2206" s="964">
        <f>Insumos!C550</f>
        <v>7.0798000000000005</v>
      </c>
      <c r="F2206" s="964"/>
      <c r="G2206" s="958">
        <f>ROUND(D2206*E2206,2)</f>
        <v>0.71</v>
      </c>
      <c r="H2206" s="958"/>
    </row>
    <row r="2207" spans="1:11">
      <c r="A2207" s="398"/>
      <c r="B2207" s="955" t="s">
        <v>536</v>
      </c>
      <c r="C2207" s="955"/>
      <c r="D2207" s="955"/>
      <c r="E2207" s="389"/>
      <c r="F2207" s="409"/>
      <c r="G2207" s="410"/>
      <c r="H2207" s="249">
        <f>SUM(G2202:H2204)</f>
        <v>1.8000000000000003</v>
      </c>
    </row>
    <row r="2208" spans="1:11">
      <c r="A2208" s="398"/>
      <c r="B2208" s="955" t="s">
        <v>537</v>
      </c>
      <c r="C2208" s="955"/>
      <c r="D2208" s="955"/>
      <c r="E2208" s="389"/>
      <c r="F2208" s="409"/>
      <c r="G2208" s="410"/>
      <c r="H2208" s="249">
        <f>SUM(G2205:H2206)</f>
        <v>1.58</v>
      </c>
    </row>
    <row r="2209" spans="1:10">
      <c r="A2209" s="398"/>
      <c r="B2209" s="955" t="s">
        <v>1937</v>
      </c>
      <c r="C2209" s="955"/>
      <c r="D2209" s="955"/>
      <c r="E2209" s="389"/>
      <c r="F2209" s="409"/>
      <c r="G2209" s="410"/>
      <c r="H2209" s="249">
        <f>SUM(H2207:H2208)</f>
        <v>3.3800000000000003</v>
      </c>
    </row>
    <row r="2210" spans="1:10">
      <c r="A2210" s="398"/>
      <c r="B2210" s="955" t="s">
        <v>538</v>
      </c>
      <c r="C2210" s="955"/>
      <c r="D2210" s="955"/>
      <c r="E2210" s="389"/>
      <c r="F2210" s="411" t="s">
        <v>539</v>
      </c>
      <c r="G2210" s="410"/>
      <c r="H2210" s="249">
        <f>ROUND(H2209*F2210,2)</f>
        <v>0.84</v>
      </c>
    </row>
    <row r="2211" spans="1:10">
      <c r="A2211" s="398"/>
      <c r="B2211" s="956" t="s">
        <v>540</v>
      </c>
      <c r="C2211" s="956"/>
      <c r="D2211" s="956"/>
      <c r="E2211" s="740"/>
      <c r="F2211" s="768"/>
      <c r="G2211" s="769"/>
      <c r="H2211" s="770">
        <f>SUM(H2209:H2210)</f>
        <v>4.2200000000000006</v>
      </c>
    </row>
    <row r="2212" spans="1:10" s="579" customFormat="1">
      <c r="A2212" s="601"/>
      <c r="B2212" s="780"/>
      <c r="C2212" s="780"/>
      <c r="D2212" s="780"/>
      <c r="E2212" s="740"/>
      <c r="F2212" s="768"/>
      <c r="G2212" s="769"/>
      <c r="H2212" s="770"/>
      <c r="I2212" s="400"/>
      <c r="J2212" s="404"/>
    </row>
    <row r="2213" spans="1:10" ht="32.1" customHeight="1">
      <c r="A2213" s="403" t="s">
        <v>2477</v>
      </c>
      <c r="B2213" s="961" t="s">
        <v>757</v>
      </c>
      <c r="C2213" s="961"/>
      <c r="D2213" s="961"/>
      <c r="E2213" s="961"/>
      <c r="F2213" s="961"/>
      <c r="G2213" s="402"/>
      <c r="H2213" s="403" t="s">
        <v>14</v>
      </c>
    </row>
    <row r="2214" spans="1:10">
      <c r="A2214" s="398"/>
      <c r="B2214" s="230" t="s">
        <v>758</v>
      </c>
      <c r="C2214" s="231" t="s">
        <v>14</v>
      </c>
      <c r="D2214" s="401">
        <v>1</v>
      </c>
      <c r="E2214" s="964">
        <f>Insumos!C551</f>
        <v>3.1122000000000001</v>
      </c>
      <c r="F2214" s="964"/>
      <c r="G2214" s="958">
        <f>ROUND(D2214*E2214,2)</f>
        <v>3.11</v>
      </c>
      <c r="H2214" s="958"/>
    </row>
    <row r="2215" spans="1:10">
      <c r="A2215" s="398"/>
      <c r="B2215" s="230" t="s">
        <v>746</v>
      </c>
      <c r="C2215" s="231" t="s">
        <v>492</v>
      </c>
      <c r="D2215" s="401">
        <v>6.59E-2</v>
      </c>
      <c r="E2215" s="964">
        <f>Insumos!C552</f>
        <v>25.898600000000002</v>
      </c>
      <c r="F2215" s="964"/>
      <c r="G2215" s="958">
        <f>ROUND(D2215*E2215,2)</f>
        <v>1.71</v>
      </c>
      <c r="H2215" s="958"/>
    </row>
    <row r="2216" spans="1:10" s="406" customFormat="1" ht="15">
      <c r="A2216" s="398"/>
      <c r="B2216" s="230" t="s">
        <v>747</v>
      </c>
      <c r="C2216" s="231" t="s">
        <v>14</v>
      </c>
      <c r="D2216" s="401">
        <v>5.5E-2</v>
      </c>
      <c r="E2216" s="964">
        <f>Insumos!C553</f>
        <v>30.676100000000002</v>
      </c>
      <c r="F2216" s="964"/>
      <c r="G2216" s="958">
        <f>ROUND(D2216*E2216,2)</f>
        <v>1.69</v>
      </c>
      <c r="H2216" s="958"/>
      <c r="I2216" s="407"/>
      <c r="J2216" s="408"/>
    </row>
    <row r="2217" spans="1:10">
      <c r="A2217" s="398"/>
      <c r="B2217" s="230" t="s">
        <v>517</v>
      </c>
      <c r="C2217" s="231" t="s">
        <v>112</v>
      </c>
      <c r="D2217" s="401">
        <v>0.27</v>
      </c>
      <c r="E2217" s="964">
        <f>Insumos!C554</f>
        <v>8.6722999999999999</v>
      </c>
      <c r="F2217" s="964"/>
      <c r="G2217" s="958">
        <f>ROUND(D2217*E2217,2)</f>
        <v>2.34</v>
      </c>
      <c r="H2217" s="958"/>
    </row>
    <row r="2218" spans="1:10">
      <c r="A2218" s="398"/>
      <c r="B2218" s="230" t="s">
        <v>516</v>
      </c>
      <c r="C2218" s="231" t="s">
        <v>112</v>
      </c>
      <c r="D2218" s="401">
        <v>0.27</v>
      </c>
      <c r="E2218" s="964">
        <f>Insumos!C555</f>
        <v>7.0798000000000005</v>
      </c>
      <c r="F2218" s="964"/>
      <c r="G2218" s="958">
        <f>ROUND(D2218*E2218,2)</f>
        <v>1.91</v>
      </c>
      <c r="H2218" s="958"/>
    </row>
    <row r="2219" spans="1:10">
      <c r="A2219" s="398"/>
      <c r="B2219" s="955" t="s">
        <v>536</v>
      </c>
      <c r="C2219" s="955"/>
      <c r="D2219" s="955"/>
      <c r="E2219" s="389"/>
      <c r="F2219" s="409"/>
      <c r="G2219" s="410"/>
      <c r="H2219" s="249">
        <f>SUM(G2214:H2216)</f>
        <v>6.51</v>
      </c>
    </row>
    <row r="2220" spans="1:10">
      <c r="A2220" s="398"/>
      <c r="B2220" s="955" t="s">
        <v>537</v>
      </c>
      <c r="C2220" s="955"/>
      <c r="D2220" s="955"/>
      <c r="E2220" s="389"/>
      <c r="F2220" s="409"/>
      <c r="G2220" s="410"/>
      <c r="H2220" s="249">
        <f>SUM(G2217:H2218)</f>
        <v>4.25</v>
      </c>
    </row>
    <row r="2221" spans="1:10">
      <c r="A2221" s="398"/>
      <c r="B2221" s="955" t="s">
        <v>1937</v>
      </c>
      <c r="C2221" s="955"/>
      <c r="D2221" s="955"/>
      <c r="E2221" s="389"/>
      <c r="F2221" s="409"/>
      <c r="G2221" s="410"/>
      <c r="H2221" s="249">
        <f>SUM(H2219:H2220)</f>
        <v>10.76</v>
      </c>
    </row>
    <row r="2222" spans="1:10">
      <c r="A2222" s="398"/>
      <c r="B2222" s="955" t="s">
        <v>538</v>
      </c>
      <c r="C2222" s="955"/>
      <c r="D2222" s="955"/>
      <c r="E2222" s="389"/>
      <c r="F2222" s="411" t="s">
        <v>539</v>
      </c>
      <c r="G2222" s="410"/>
      <c r="H2222" s="249">
        <f>ROUND(H2221*F2222,2)</f>
        <v>2.69</v>
      </c>
    </row>
    <row r="2223" spans="1:10">
      <c r="A2223" s="398"/>
      <c r="B2223" s="956" t="s">
        <v>540</v>
      </c>
      <c r="C2223" s="956"/>
      <c r="D2223" s="956"/>
      <c r="E2223" s="740"/>
      <c r="F2223" s="768"/>
      <c r="G2223" s="769"/>
      <c r="H2223" s="770">
        <f>SUM(H2221:H2222)</f>
        <v>13.45</v>
      </c>
    </row>
    <row r="2224" spans="1:10" s="579" customFormat="1">
      <c r="A2224" s="601"/>
      <c r="B2224" s="780"/>
      <c r="C2224" s="780"/>
      <c r="D2224" s="780"/>
      <c r="E2224" s="740"/>
      <c r="F2224" s="768"/>
      <c r="G2224" s="769"/>
      <c r="H2224" s="770"/>
      <c r="I2224" s="400"/>
      <c r="J2224" s="404"/>
    </row>
    <row r="2225" spans="1:10" ht="32.1" customHeight="1">
      <c r="A2225" s="403" t="s">
        <v>2478</v>
      </c>
      <c r="B2225" s="961" t="s">
        <v>759</v>
      </c>
      <c r="C2225" s="961"/>
      <c r="D2225" s="961"/>
      <c r="E2225" s="961"/>
      <c r="F2225" s="961"/>
      <c r="G2225" s="402"/>
      <c r="H2225" s="403" t="s">
        <v>14</v>
      </c>
    </row>
    <row r="2226" spans="1:10">
      <c r="A2226" s="398"/>
      <c r="B2226" s="230" t="s">
        <v>760</v>
      </c>
      <c r="C2226" s="231" t="s">
        <v>14</v>
      </c>
      <c r="D2226" s="401">
        <v>1</v>
      </c>
      <c r="E2226" s="959">
        <f>Insumos!C556</f>
        <v>7.1434999999999995</v>
      </c>
      <c r="F2226" s="959"/>
      <c r="G2226" s="958">
        <f>ROUND(D2226*E2226,2)</f>
        <v>7.14</v>
      </c>
      <c r="H2226" s="958"/>
    </row>
    <row r="2227" spans="1:10">
      <c r="A2227" s="398"/>
      <c r="B2227" s="230" t="s">
        <v>746</v>
      </c>
      <c r="C2227" s="231" t="s">
        <v>492</v>
      </c>
      <c r="D2227" s="401">
        <v>6.59E-2</v>
      </c>
      <c r="E2227" s="959">
        <f>Insumos!C557</f>
        <v>25.898600000000002</v>
      </c>
      <c r="F2227" s="959"/>
      <c r="G2227" s="958">
        <f>ROUND(D2227*E2227,2)</f>
        <v>1.71</v>
      </c>
      <c r="H2227" s="958"/>
    </row>
    <row r="2228" spans="1:10" s="406" customFormat="1" ht="15">
      <c r="A2228" s="398"/>
      <c r="B2228" s="230" t="s">
        <v>747</v>
      </c>
      <c r="C2228" s="231" t="s">
        <v>14</v>
      </c>
      <c r="D2228" s="401">
        <v>5.5E-2</v>
      </c>
      <c r="E2228" s="959">
        <f>Insumos!C558</f>
        <v>30.676100000000002</v>
      </c>
      <c r="F2228" s="959"/>
      <c r="G2228" s="958">
        <f>ROUND(D2228*E2228,2)</f>
        <v>1.69</v>
      </c>
      <c r="H2228" s="958"/>
      <c r="I2228" s="407"/>
      <c r="J2228" s="408"/>
    </row>
    <row r="2229" spans="1:10">
      <c r="A2229" s="398"/>
      <c r="B2229" s="230" t="s">
        <v>517</v>
      </c>
      <c r="C2229" s="231" t="s">
        <v>112</v>
      </c>
      <c r="D2229" s="401">
        <v>0.27</v>
      </c>
      <c r="E2229" s="959">
        <f>Insumos!C559</f>
        <v>8.6722999999999999</v>
      </c>
      <c r="F2229" s="959"/>
      <c r="G2229" s="958">
        <f>ROUND(D2229*E2229,2)</f>
        <v>2.34</v>
      </c>
      <c r="H2229" s="958"/>
    </row>
    <row r="2230" spans="1:10">
      <c r="A2230" s="398"/>
      <c r="B2230" s="230" t="s">
        <v>516</v>
      </c>
      <c r="C2230" s="231" t="s">
        <v>112</v>
      </c>
      <c r="D2230" s="401">
        <v>0.27</v>
      </c>
      <c r="E2230" s="959">
        <f>Insumos!C560</f>
        <v>7.0798000000000005</v>
      </c>
      <c r="F2230" s="959"/>
      <c r="G2230" s="958">
        <f>ROUND(D2230*E2230,2)</f>
        <v>1.91</v>
      </c>
      <c r="H2230" s="958"/>
    </row>
    <row r="2231" spans="1:10">
      <c r="A2231" s="398"/>
      <c r="B2231" s="955" t="s">
        <v>536</v>
      </c>
      <c r="C2231" s="955"/>
      <c r="D2231" s="955"/>
      <c r="E2231" s="389"/>
      <c r="F2231" s="409"/>
      <c r="G2231" s="410"/>
      <c r="H2231" s="249">
        <f>SUM(G2226:H2228)</f>
        <v>10.54</v>
      </c>
    </row>
    <row r="2232" spans="1:10">
      <c r="A2232" s="398"/>
      <c r="B2232" s="955" t="s">
        <v>537</v>
      </c>
      <c r="C2232" s="955"/>
      <c r="D2232" s="955"/>
      <c r="E2232" s="389"/>
      <c r="F2232" s="409"/>
      <c r="G2232" s="410"/>
      <c r="H2232" s="249">
        <f>SUM(G2229:H2230)</f>
        <v>4.25</v>
      </c>
    </row>
    <row r="2233" spans="1:10">
      <c r="A2233" s="398"/>
      <c r="B2233" s="955" t="s">
        <v>1937</v>
      </c>
      <c r="C2233" s="955"/>
      <c r="D2233" s="955"/>
      <c r="E2233" s="389"/>
      <c r="F2233" s="409"/>
      <c r="G2233" s="410"/>
      <c r="H2233" s="249">
        <f>SUM(H2231:H2232)</f>
        <v>14.79</v>
      </c>
    </row>
    <row r="2234" spans="1:10">
      <c r="A2234" s="398"/>
      <c r="B2234" s="955" t="s">
        <v>538</v>
      </c>
      <c r="C2234" s="955"/>
      <c r="D2234" s="955"/>
      <c r="E2234" s="389"/>
      <c r="F2234" s="411" t="s">
        <v>539</v>
      </c>
      <c r="G2234" s="410"/>
      <c r="H2234" s="249">
        <f>ROUND(H2233*F2234,2)</f>
        <v>3.69</v>
      </c>
    </row>
    <row r="2235" spans="1:10">
      <c r="A2235" s="398"/>
      <c r="B2235" s="956" t="s">
        <v>540</v>
      </c>
      <c r="C2235" s="956"/>
      <c r="D2235" s="956"/>
      <c r="E2235" s="740"/>
      <c r="F2235" s="768"/>
      <c r="G2235" s="769"/>
      <c r="H2235" s="770">
        <f>SUM(H2233:H2234)</f>
        <v>18.48</v>
      </c>
    </row>
    <row r="2236" spans="1:10" s="579" customFormat="1">
      <c r="A2236" s="601"/>
      <c r="B2236" s="780"/>
      <c r="C2236" s="780"/>
      <c r="D2236" s="780"/>
      <c r="E2236" s="740"/>
      <c r="F2236" s="768"/>
      <c r="G2236" s="769"/>
      <c r="H2236" s="770"/>
      <c r="I2236" s="400"/>
      <c r="J2236" s="404"/>
    </row>
    <row r="2237" spans="1:10" ht="32.1" customHeight="1">
      <c r="A2237" s="403" t="s">
        <v>2479</v>
      </c>
      <c r="B2237" s="961" t="s">
        <v>761</v>
      </c>
      <c r="C2237" s="961"/>
      <c r="D2237" s="961"/>
      <c r="E2237" s="961"/>
      <c r="F2237" s="961"/>
      <c r="G2237" s="402"/>
      <c r="H2237" s="403" t="s">
        <v>14</v>
      </c>
    </row>
    <row r="2238" spans="1:10">
      <c r="A2238" s="398"/>
      <c r="B2238" s="230" t="s">
        <v>746</v>
      </c>
      <c r="C2238" s="231" t="s">
        <v>492</v>
      </c>
      <c r="D2238" s="401">
        <v>9.4100000000000003E-2</v>
      </c>
      <c r="E2238" s="964">
        <f>Insumos!C561</f>
        <v>25.898600000000002</v>
      </c>
      <c r="F2238" s="964"/>
      <c r="G2238" s="958">
        <f>ROUND(D2238*E2238,2)</f>
        <v>2.44</v>
      </c>
      <c r="H2238" s="958"/>
    </row>
    <row r="2239" spans="1:10">
      <c r="A2239" s="398"/>
      <c r="B2239" s="230" t="s">
        <v>747</v>
      </c>
      <c r="C2239" s="231" t="s">
        <v>14</v>
      </c>
      <c r="D2239" s="401">
        <v>0.08</v>
      </c>
      <c r="E2239" s="964">
        <f>Insumos!C562</f>
        <v>30.676100000000002</v>
      </c>
      <c r="F2239" s="964"/>
      <c r="G2239" s="958">
        <f>ROUND(D2239*E2239,2)</f>
        <v>2.4500000000000002</v>
      </c>
      <c r="H2239" s="958"/>
    </row>
    <row r="2240" spans="1:10" s="406" customFormat="1" ht="15">
      <c r="A2240" s="398"/>
      <c r="B2240" s="230" t="s">
        <v>762</v>
      </c>
      <c r="C2240" s="231" t="s">
        <v>14</v>
      </c>
      <c r="D2240" s="401">
        <v>1</v>
      </c>
      <c r="E2240" s="964">
        <f>Insumos!C563</f>
        <v>33.979400000000005</v>
      </c>
      <c r="F2240" s="964"/>
      <c r="G2240" s="958">
        <f>ROUND(D2240*E2240,2)</f>
        <v>33.979999999999997</v>
      </c>
      <c r="H2240" s="958"/>
      <c r="I2240" s="407"/>
      <c r="J2240" s="408"/>
    </row>
    <row r="2241" spans="1:10">
      <c r="A2241" s="398"/>
      <c r="B2241" s="230" t="s">
        <v>517</v>
      </c>
      <c r="C2241" s="231" t="s">
        <v>112</v>
      </c>
      <c r="D2241" s="401">
        <v>0.45</v>
      </c>
      <c r="E2241" s="964">
        <f>Insumos!C564</f>
        <v>8.6722999999999999</v>
      </c>
      <c r="F2241" s="964"/>
      <c r="G2241" s="958">
        <f>ROUND(D2241*E2241,2)</f>
        <v>3.9</v>
      </c>
      <c r="H2241" s="958"/>
    </row>
    <row r="2242" spans="1:10">
      <c r="A2242" s="398"/>
      <c r="B2242" s="230" t="s">
        <v>516</v>
      </c>
      <c r="C2242" s="231" t="s">
        <v>112</v>
      </c>
      <c r="D2242" s="401">
        <v>0.45</v>
      </c>
      <c r="E2242" s="964">
        <f>Insumos!C565</f>
        <v>7.0798000000000005</v>
      </c>
      <c r="F2242" s="964"/>
      <c r="G2242" s="958">
        <f>ROUND(D2242*E2242,2)</f>
        <v>3.19</v>
      </c>
      <c r="H2242" s="958"/>
    </row>
    <row r="2243" spans="1:10">
      <c r="A2243" s="398"/>
      <c r="B2243" s="955" t="s">
        <v>536</v>
      </c>
      <c r="C2243" s="955"/>
      <c r="D2243" s="955"/>
      <c r="E2243" s="389"/>
      <c r="F2243" s="409"/>
      <c r="G2243" s="410"/>
      <c r="H2243" s="249">
        <f>SUM(G2238:H2240)</f>
        <v>38.869999999999997</v>
      </c>
    </row>
    <row r="2244" spans="1:10">
      <c r="A2244" s="398"/>
      <c r="B2244" s="955" t="s">
        <v>537</v>
      </c>
      <c r="C2244" s="955"/>
      <c r="D2244" s="955"/>
      <c r="E2244" s="389"/>
      <c r="F2244" s="409"/>
      <c r="G2244" s="410"/>
      <c r="H2244" s="249">
        <f>SUM(G2241:H2242)</f>
        <v>7.09</v>
      </c>
    </row>
    <row r="2245" spans="1:10">
      <c r="A2245" s="398"/>
      <c r="B2245" s="955" t="s">
        <v>1937</v>
      </c>
      <c r="C2245" s="955"/>
      <c r="D2245" s="955"/>
      <c r="E2245" s="389"/>
      <c r="F2245" s="409"/>
      <c r="G2245" s="410"/>
      <c r="H2245" s="249">
        <f>SUM(H2243:H2244)</f>
        <v>45.959999999999994</v>
      </c>
    </row>
    <row r="2246" spans="1:10">
      <c r="A2246" s="398"/>
      <c r="B2246" s="955" t="s">
        <v>538</v>
      </c>
      <c r="C2246" s="955"/>
      <c r="D2246" s="955"/>
      <c r="E2246" s="389"/>
      <c r="F2246" s="411" t="s">
        <v>539</v>
      </c>
      <c r="G2246" s="410"/>
      <c r="H2246" s="249">
        <f>ROUND(H2245*F2246,2)</f>
        <v>11.47</v>
      </c>
    </row>
    <row r="2247" spans="1:10">
      <c r="A2247" s="398"/>
      <c r="B2247" s="956" t="s">
        <v>540</v>
      </c>
      <c r="C2247" s="956"/>
      <c r="D2247" s="956"/>
      <c r="E2247" s="740"/>
      <c r="F2247" s="768"/>
      <c r="G2247" s="769"/>
      <c r="H2247" s="770">
        <f>SUM(H2245:H2246)</f>
        <v>57.429999999999993</v>
      </c>
    </row>
    <row r="2248" spans="1:10" s="579" customFormat="1">
      <c r="A2248" s="601"/>
      <c r="B2248" s="780"/>
      <c r="C2248" s="780"/>
      <c r="D2248" s="780"/>
      <c r="E2248" s="740"/>
      <c r="F2248" s="768"/>
      <c r="G2248" s="769"/>
      <c r="H2248" s="770"/>
      <c r="I2248" s="400"/>
      <c r="J2248" s="404"/>
    </row>
    <row r="2249" spans="1:10" ht="23.25" customHeight="1">
      <c r="A2249" s="403" t="s">
        <v>2480</v>
      </c>
      <c r="B2249" s="961" t="s">
        <v>763</v>
      </c>
      <c r="C2249" s="961"/>
      <c r="D2249" s="961"/>
      <c r="E2249" s="961"/>
      <c r="F2249" s="961"/>
      <c r="G2249" s="402"/>
      <c r="H2249" s="403" t="s">
        <v>14</v>
      </c>
    </row>
    <row r="2250" spans="1:10">
      <c r="A2250" s="398"/>
      <c r="B2250" s="230" t="s">
        <v>746</v>
      </c>
      <c r="C2250" s="231" t="s">
        <v>492</v>
      </c>
      <c r="D2250" s="401">
        <v>8.0000000000000002E-3</v>
      </c>
      <c r="E2250" s="964">
        <f>Insumos!C566</f>
        <v>25.898600000000002</v>
      </c>
      <c r="F2250" s="964"/>
      <c r="G2250" s="958">
        <f>ROUND(D2250*E2250,2)</f>
        <v>0.21</v>
      </c>
      <c r="H2250" s="958"/>
    </row>
    <row r="2251" spans="1:10">
      <c r="A2251" s="398"/>
      <c r="B2251" s="230" t="s">
        <v>747</v>
      </c>
      <c r="C2251" s="231" t="s">
        <v>14</v>
      </c>
      <c r="D2251" s="401">
        <v>6.4999999999999997E-3</v>
      </c>
      <c r="E2251" s="964">
        <f>Insumos!C567</f>
        <v>30.676100000000002</v>
      </c>
      <c r="F2251" s="964"/>
      <c r="G2251" s="958">
        <f>ROUND(D2251*E2251,2)</f>
        <v>0.2</v>
      </c>
      <c r="H2251" s="958"/>
    </row>
    <row r="2252" spans="1:10" s="406" customFormat="1" ht="15">
      <c r="A2252" s="398"/>
      <c r="B2252" s="230" t="s">
        <v>764</v>
      </c>
      <c r="C2252" s="231" t="s">
        <v>14</v>
      </c>
      <c r="D2252" s="401">
        <v>1</v>
      </c>
      <c r="E2252" s="964">
        <f>Insumos!C568</f>
        <v>1.8928</v>
      </c>
      <c r="F2252" s="964"/>
      <c r="G2252" s="958">
        <f>ROUND(D2252*E2252,2)</f>
        <v>1.89</v>
      </c>
      <c r="H2252" s="958"/>
      <c r="I2252" s="407"/>
      <c r="J2252" s="408"/>
    </row>
    <row r="2253" spans="1:10">
      <c r="A2253" s="398"/>
      <c r="B2253" s="230" t="s">
        <v>517</v>
      </c>
      <c r="C2253" s="231" t="s">
        <v>112</v>
      </c>
      <c r="D2253" s="401">
        <v>0.12</v>
      </c>
      <c r="E2253" s="964">
        <f>Insumos!C569</f>
        <v>8.6722999999999999</v>
      </c>
      <c r="F2253" s="964"/>
      <c r="G2253" s="958">
        <f>ROUND(D2253*E2253,2)</f>
        <v>1.04</v>
      </c>
      <c r="H2253" s="958"/>
    </row>
    <row r="2254" spans="1:10">
      <c r="A2254" s="398"/>
      <c r="B2254" s="230" t="s">
        <v>516</v>
      </c>
      <c r="C2254" s="231" t="s">
        <v>112</v>
      </c>
      <c r="D2254" s="401">
        <v>0.12</v>
      </c>
      <c r="E2254" s="964">
        <f>Insumos!C570</f>
        <v>7.0798000000000005</v>
      </c>
      <c r="F2254" s="964"/>
      <c r="G2254" s="958">
        <f>ROUND(D2254*E2254,2)</f>
        <v>0.85</v>
      </c>
      <c r="H2254" s="958"/>
    </row>
    <row r="2255" spans="1:10">
      <c r="A2255" s="398"/>
      <c r="B2255" s="955" t="s">
        <v>536</v>
      </c>
      <c r="C2255" s="955"/>
      <c r="D2255" s="955"/>
      <c r="E2255" s="389"/>
      <c r="F2255" s="409"/>
      <c r="G2255" s="410"/>
      <c r="H2255" s="249">
        <f>SUM(G2250:H2252)</f>
        <v>2.2999999999999998</v>
      </c>
    </row>
    <row r="2256" spans="1:10">
      <c r="A2256" s="398"/>
      <c r="B2256" s="955" t="s">
        <v>537</v>
      </c>
      <c r="C2256" s="955"/>
      <c r="D2256" s="955"/>
      <c r="E2256" s="389"/>
      <c r="F2256" s="409"/>
      <c r="G2256" s="410"/>
      <c r="H2256" s="249">
        <f>SUM(G2253:H2254)</f>
        <v>1.8900000000000001</v>
      </c>
    </row>
    <row r="2257" spans="1:10">
      <c r="A2257" s="398"/>
      <c r="B2257" s="955" t="s">
        <v>1937</v>
      </c>
      <c r="C2257" s="955"/>
      <c r="D2257" s="955"/>
      <c r="E2257" s="389"/>
      <c r="F2257" s="409"/>
      <c r="G2257" s="410"/>
      <c r="H2257" s="249">
        <f>SUM(H2255:H2256)</f>
        <v>4.1899999999999995</v>
      </c>
    </row>
    <row r="2258" spans="1:10">
      <c r="A2258" s="398"/>
      <c r="B2258" s="955" t="s">
        <v>538</v>
      </c>
      <c r="C2258" s="955"/>
      <c r="D2258" s="955"/>
      <c r="E2258" s="389"/>
      <c r="F2258" s="411" t="s">
        <v>539</v>
      </c>
      <c r="G2258" s="410"/>
      <c r="H2258" s="249">
        <f>ROUND(H2257*F2258,2)</f>
        <v>1.05</v>
      </c>
    </row>
    <row r="2259" spans="1:10">
      <c r="A2259" s="398"/>
      <c r="B2259" s="956" t="s">
        <v>540</v>
      </c>
      <c r="C2259" s="956"/>
      <c r="D2259" s="956"/>
      <c r="E2259" s="740"/>
      <c r="F2259" s="768"/>
      <c r="G2259" s="769"/>
      <c r="H2259" s="770">
        <f>SUM(H2257:H2258)</f>
        <v>5.2399999999999993</v>
      </c>
    </row>
    <row r="2260" spans="1:10" s="579" customFormat="1">
      <c r="A2260" s="601"/>
      <c r="B2260" s="780"/>
      <c r="C2260" s="780"/>
      <c r="D2260" s="780"/>
      <c r="E2260" s="740"/>
      <c r="F2260" s="768"/>
      <c r="G2260" s="769"/>
      <c r="H2260" s="770"/>
      <c r="I2260" s="400"/>
      <c r="J2260" s="404"/>
    </row>
    <row r="2261" spans="1:10">
      <c r="A2261" s="403" t="s">
        <v>2481</v>
      </c>
      <c r="B2261" s="961" t="s">
        <v>765</v>
      </c>
      <c r="C2261" s="961"/>
      <c r="D2261" s="961"/>
      <c r="E2261" s="961"/>
      <c r="F2261" s="961"/>
      <c r="G2261" s="402"/>
      <c r="H2261" s="403" t="s">
        <v>14</v>
      </c>
    </row>
    <row r="2262" spans="1:10">
      <c r="A2262" s="398"/>
      <c r="B2262" s="230" t="s">
        <v>766</v>
      </c>
      <c r="C2262" s="231" t="s">
        <v>14</v>
      </c>
      <c r="D2262" s="401">
        <v>1</v>
      </c>
      <c r="E2262" s="964">
        <f>Insumos!C571</f>
        <v>1.5925</v>
      </c>
      <c r="F2262" s="964"/>
      <c r="G2262" s="958">
        <f>ROUND(D2262*E2262,2)</f>
        <v>1.59</v>
      </c>
      <c r="H2262" s="958"/>
    </row>
    <row r="2263" spans="1:10" s="406" customFormat="1" ht="15">
      <c r="A2263" s="398"/>
      <c r="B2263" s="230" t="s">
        <v>746</v>
      </c>
      <c r="C2263" s="231" t="s">
        <v>492</v>
      </c>
      <c r="D2263" s="401">
        <v>1.6E-2</v>
      </c>
      <c r="E2263" s="964">
        <f>Insumos!C572</f>
        <v>25.898600000000002</v>
      </c>
      <c r="F2263" s="964"/>
      <c r="G2263" s="958">
        <f>ROUND(D2263*E2263,2)</f>
        <v>0.41</v>
      </c>
      <c r="H2263" s="958"/>
      <c r="I2263" s="407"/>
      <c r="J2263" s="408"/>
    </row>
    <row r="2264" spans="1:10">
      <c r="A2264" s="398"/>
      <c r="B2264" s="230" t="s">
        <v>747</v>
      </c>
      <c r="C2264" s="231" t="s">
        <v>14</v>
      </c>
      <c r="D2264" s="401">
        <v>1.6E-2</v>
      </c>
      <c r="E2264" s="964">
        <f>Insumos!C573</f>
        <v>30.676100000000002</v>
      </c>
      <c r="F2264" s="964"/>
      <c r="G2264" s="958">
        <f>ROUND(D2264*E2264,2)</f>
        <v>0.49</v>
      </c>
      <c r="H2264" s="958"/>
    </row>
    <row r="2265" spans="1:10">
      <c r="A2265" s="398"/>
      <c r="B2265" s="230" t="s">
        <v>517</v>
      </c>
      <c r="C2265" s="231" t="s">
        <v>112</v>
      </c>
      <c r="D2265" s="401">
        <v>0.14849999999999999</v>
      </c>
      <c r="E2265" s="964">
        <f>Insumos!C574</f>
        <v>8.6722999999999999</v>
      </c>
      <c r="F2265" s="964"/>
      <c r="G2265" s="958">
        <f>ROUND(D2265*E2265,2)</f>
        <v>1.29</v>
      </c>
      <c r="H2265" s="958"/>
    </row>
    <row r="2266" spans="1:10">
      <c r="A2266" s="398"/>
      <c r="B2266" s="230" t="s">
        <v>516</v>
      </c>
      <c r="C2266" s="231" t="s">
        <v>112</v>
      </c>
      <c r="D2266" s="401">
        <v>0.15</v>
      </c>
      <c r="E2266" s="964">
        <f>Insumos!C575</f>
        <v>7.0798000000000005</v>
      </c>
      <c r="F2266" s="964"/>
      <c r="G2266" s="958">
        <f>ROUND(D2266*E2266,2)</f>
        <v>1.06</v>
      </c>
      <c r="H2266" s="958"/>
    </row>
    <row r="2267" spans="1:10">
      <c r="A2267" s="398"/>
      <c r="B2267" s="955" t="s">
        <v>536</v>
      </c>
      <c r="C2267" s="955"/>
      <c r="D2267" s="955"/>
      <c r="E2267" s="389"/>
      <c r="F2267" s="409"/>
      <c r="G2267" s="410"/>
      <c r="H2267" s="249">
        <f>SUM(G2262:H2264)</f>
        <v>2.4900000000000002</v>
      </c>
    </row>
    <row r="2268" spans="1:10">
      <c r="A2268" s="398"/>
      <c r="B2268" s="955" t="s">
        <v>537</v>
      </c>
      <c r="C2268" s="955"/>
      <c r="D2268" s="955"/>
      <c r="E2268" s="389"/>
      <c r="F2268" s="409"/>
      <c r="G2268" s="410"/>
      <c r="H2268" s="249">
        <f>SUM(G2265:H2266)</f>
        <v>2.35</v>
      </c>
    </row>
    <row r="2269" spans="1:10">
      <c r="A2269" s="398"/>
      <c r="B2269" s="955" t="s">
        <v>1937</v>
      </c>
      <c r="C2269" s="955"/>
      <c r="D2269" s="955"/>
      <c r="E2269" s="389"/>
      <c r="F2269" s="409"/>
      <c r="G2269" s="410"/>
      <c r="H2269" s="249">
        <f>SUM(H2267:H2268)</f>
        <v>4.84</v>
      </c>
    </row>
    <row r="2270" spans="1:10">
      <c r="A2270" s="398"/>
      <c r="B2270" s="955" t="s">
        <v>538</v>
      </c>
      <c r="C2270" s="955"/>
      <c r="D2270" s="955"/>
      <c r="E2270" s="389"/>
      <c r="F2270" s="411" t="s">
        <v>539</v>
      </c>
      <c r="G2270" s="410"/>
      <c r="H2270" s="249">
        <f>ROUND(H2269*F2270,2)</f>
        <v>1.21</v>
      </c>
    </row>
    <row r="2271" spans="1:10">
      <c r="A2271" s="398"/>
      <c r="B2271" s="956" t="s">
        <v>540</v>
      </c>
      <c r="C2271" s="956"/>
      <c r="D2271" s="956"/>
      <c r="E2271" s="740"/>
      <c r="F2271" s="768"/>
      <c r="G2271" s="769"/>
      <c r="H2271" s="770">
        <f>SUM(H2269:H2270)</f>
        <v>6.05</v>
      </c>
    </row>
    <row r="2272" spans="1:10" s="579" customFormat="1">
      <c r="A2272" s="601"/>
      <c r="B2272" s="780"/>
      <c r="C2272" s="780"/>
      <c r="D2272" s="780"/>
      <c r="E2272" s="740"/>
      <c r="F2272" s="768"/>
      <c r="G2272" s="769"/>
      <c r="H2272" s="770"/>
      <c r="I2272" s="400"/>
      <c r="J2272" s="404"/>
    </row>
    <row r="2273" spans="1:10">
      <c r="A2273" s="403" t="s">
        <v>2482</v>
      </c>
      <c r="B2273" s="961" t="s">
        <v>767</v>
      </c>
      <c r="C2273" s="961"/>
      <c r="D2273" s="961"/>
      <c r="E2273" s="961"/>
      <c r="F2273" s="961"/>
      <c r="G2273" s="402"/>
      <c r="H2273" s="403" t="s">
        <v>14</v>
      </c>
    </row>
    <row r="2274" spans="1:10" s="406" customFormat="1" ht="15">
      <c r="A2274" s="398"/>
      <c r="B2274" s="230" t="s">
        <v>768</v>
      </c>
      <c r="C2274" s="231" t="s">
        <v>14</v>
      </c>
      <c r="D2274" s="401">
        <v>1</v>
      </c>
      <c r="E2274" s="959">
        <f>Insumos!C576</f>
        <v>2.3478000000000003</v>
      </c>
      <c r="F2274" s="959"/>
      <c r="G2274" s="958">
        <f>ROUND(D2274*E2274,2)</f>
        <v>2.35</v>
      </c>
      <c r="H2274" s="958"/>
      <c r="I2274" s="407"/>
      <c r="J2274" s="408"/>
    </row>
    <row r="2275" spans="1:10">
      <c r="A2275" s="398"/>
      <c r="B2275" s="230" t="s">
        <v>746</v>
      </c>
      <c r="C2275" s="231" t="s">
        <v>492</v>
      </c>
      <c r="D2275" s="401">
        <v>0.02</v>
      </c>
      <c r="E2275" s="959">
        <f>Insumos!C577</f>
        <v>25.898600000000002</v>
      </c>
      <c r="F2275" s="959"/>
      <c r="G2275" s="958">
        <f>ROUND(D2275*E2275,2)</f>
        <v>0.52</v>
      </c>
      <c r="H2275" s="958"/>
    </row>
    <row r="2276" spans="1:10">
      <c r="A2276" s="398"/>
      <c r="B2276" s="230" t="s">
        <v>747</v>
      </c>
      <c r="C2276" s="231" t="s">
        <v>14</v>
      </c>
      <c r="D2276" s="401">
        <v>2.0855000000000037E-2</v>
      </c>
      <c r="E2276" s="959">
        <f>Insumos!C578</f>
        <v>30.676100000000002</v>
      </c>
      <c r="F2276" s="959"/>
      <c r="G2276" s="958">
        <f>ROUND(D2276*E2276,2)</f>
        <v>0.64</v>
      </c>
      <c r="H2276" s="958"/>
    </row>
    <row r="2277" spans="1:10">
      <c r="A2277" s="398"/>
      <c r="B2277" s="230" t="s">
        <v>517</v>
      </c>
      <c r="C2277" s="231" t="s">
        <v>112</v>
      </c>
      <c r="D2277" s="401">
        <v>0.15</v>
      </c>
      <c r="E2277" s="959">
        <f>Insumos!C579</f>
        <v>8.6722999999999999</v>
      </c>
      <c r="F2277" s="959"/>
      <c r="G2277" s="958">
        <f>ROUND(D2277*E2277,2)</f>
        <v>1.3</v>
      </c>
      <c r="H2277" s="958"/>
    </row>
    <row r="2278" spans="1:10">
      <c r="A2278" s="398"/>
      <c r="B2278" s="230" t="s">
        <v>516</v>
      </c>
      <c r="C2278" s="231" t="s">
        <v>112</v>
      </c>
      <c r="D2278" s="401">
        <v>0.15</v>
      </c>
      <c r="E2278" s="959">
        <f>Insumos!C580</f>
        <v>7.0798000000000005</v>
      </c>
      <c r="F2278" s="959"/>
      <c r="G2278" s="958">
        <f>ROUND(D2278*E2278,2)</f>
        <v>1.06</v>
      </c>
      <c r="H2278" s="958"/>
    </row>
    <row r="2279" spans="1:10">
      <c r="A2279" s="398"/>
      <c r="B2279" s="955" t="s">
        <v>536</v>
      </c>
      <c r="C2279" s="955"/>
      <c r="D2279" s="955"/>
      <c r="E2279" s="389"/>
      <c r="F2279" s="409"/>
      <c r="G2279" s="410"/>
      <c r="H2279" s="249">
        <f>SUM(G2274:H2276)</f>
        <v>3.5100000000000002</v>
      </c>
    </row>
    <row r="2280" spans="1:10">
      <c r="A2280" s="398"/>
      <c r="B2280" s="955" t="s">
        <v>537</v>
      </c>
      <c r="C2280" s="955"/>
      <c r="D2280" s="955"/>
      <c r="E2280" s="389"/>
      <c r="F2280" s="409"/>
      <c r="G2280" s="410"/>
      <c r="H2280" s="249">
        <f>SUM(G2277:H2278)</f>
        <v>2.3600000000000003</v>
      </c>
    </row>
    <row r="2281" spans="1:10">
      <c r="A2281" s="398"/>
      <c r="B2281" s="955" t="s">
        <v>1937</v>
      </c>
      <c r="C2281" s="955"/>
      <c r="D2281" s="955"/>
      <c r="E2281" s="389"/>
      <c r="F2281" s="409"/>
      <c r="G2281" s="410"/>
      <c r="H2281" s="249">
        <f>SUM(H2279:H2280)</f>
        <v>5.870000000000001</v>
      </c>
    </row>
    <row r="2282" spans="1:10">
      <c r="A2282" s="398"/>
      <c r="B2282" s="955" t="s">
        <v>538</v>
      </c>
      <c r="C2282" s="955"/>
      <c r="D2282" s="955"/>
      <c r="E2282" s="389"/>
      <c r="F2282" s="411" t="s">
        <v>539</v>
      </c>
      <c r="G2282" s="410"/>
      <c r="H2282" s="249">
        <f>ROUND(H2281*F2282,2)</f>
        <v>1.47</v>
      </c>
    </row>
    <row r="2283" spans="1:10">
      <c r="A2283" s="398"/>
      <c r="B2283" s="956" t="s">
        <v>540</v>
      </c>
      <c r="C2283" s="956"/>
      <c r="D2283" s="956"/>
      <c r="E2283" s="740"/>
      <c r="F2283" s="768"/>
      <c r="G2283" s="769"/>
      <c r="H2283" s="770">
        <f>SUM(H2281:H2282)</f>
        <v>7.3400000000000007</v>
      </c>
    </row>
    <row r="2284" spans="1:10" s="579" customFormat="1">
      <c r="A2284" s="601"/>
      <c r="B2284" s="780"/>
      <c r="C2284" s="780"/>
      <c r="D2284" s="780"/>
      <c r="E2284" s="740"/>
      <c r="F2284" s="768"/>
      <c r="G2284" s="769"/>
      <c r="H2284" s="770"/>
      <c r="I2284" s="400"/>
      <c r="J2284" s="404"/>
    </row>
    <row r="2285" spans="1:10" ht="24.6" customHeight="1">
      <c r="A2285" s="403" t="s">
        <v>2483</v>
      </c>
      <c r="B2285" s="961" t="s">
        <v>769</v>
      </c>
      <c r="C2285" s="961"/>
      <c r="D2285" s="961"/>
      <c r="E2285" s="961"/>
      <c r="F2285" s="961"/>
      <c r="G2285" s="402"/>
      <c r="H2285" s="403" t="s">
        <v>14</v>
      </c>
    </row>
    <row r="2286" spans="1:10" s="406" customFormat="1" ht="15">
      <c r="A2286" s="398"/>
      <c r="B2286" s="230" t="s">
        <v>770</v>
      </c>
      <c r="C2286" s="231" t="s">
        <v>14</v>
      </c>
      <c r="D2286" s="436">
        <v>1</v>
      </c>
      <c r="E2286" s="964">
        <f>Insumos!C581</f>
        <v>7.644000000000001</v>
      </c>
      <c r="F2286" s="964"/>
      <c r="G2286" s="958">
        <f>ROUND(D2286*E2286,2)</f>
        <v>7.64</v>
      </c>
      <c r="H2286" s="958"/>
      <c r="I2286" s="407"/>
      <c r="J2286" s="408"/>
    </row>
    <row r="2287" spans="1:10">
      <c r="A2287" s="398"/>
      <c r="B2287" s="230" t="s">
        <v>746</v>
      </c>
      <c r="C2287" s="231" t="s">
        <v>492</v>
      </c>
      <c r="D2287" s="436">
        <v>5.8799999999999998E-2</v>
      </c>
      <c r="E2287" s="964">
        <f>Insumos!C582</f>
        <v>25.898600000000002</v>
      </c>
      <c r="F2287" s="964"/>
      <c r="G2287" s="958">
        <f>ROUND(D2287*E2287,2)</f>
        <v>1.52</v>
      </c>
      <c r="H2287" s="958"/>
    </row>
    <row r="2288" spans="1:10">
      <c r="A2288" s="398"/>
      <c r="B2288" s="230" t="s">
        <v>747</v>
      </c>
      <c r="C2288" s="231" t="s">
        <v>14</v>
      </c>
      <c r="D2288" s="436">
        <v>5.3713799999999833E-2</v>
      </c>
      <c r="E2288" s="964">
        <f>Insumos!C583</f>
        <v>30.676100000000002</v>
      </c>
      <c r="F2288" s="964"/>
      <c r="G2288" s="958">
        <f>ROUND(D2288*E2288,2)</f>
        <v>1.65</v>
      </c>
      <c r="H2288" s="958"/>
    </row>
    <row r="2289" spans="1:10">
      <c r="A2289" s="398"/>
      <c r="B2289" s="230" t="s">
        <v>517</v>
      </c>
      <c r="C2289" s="231" t="s">
        <v>112</v>
      </c>
      <c r="D2289" s="436">
        <v>0.23</v>
      </c>
      <c r="E2289" s="964">
        <f>Insumos!C584</f>
        <v>8.6722999999999999</v>
      </c>
      <c r="F2289" s="964"/>
      <c r="G2289" s="958">
        <f>ROUND(D2289*E2289,2)</f>
        <v>1.99</v>
      </c>
      <c r="H2289" s="958"/>
    </row>
    <row r="2290" spans="1:10">
      <c r="A2290" s="398"/>
      <c r="B2290" s="230" t="s">
        <v>516</v>
      </c>
      <c r="C2290" s="231" t="s">
        <v>112</v>
      </c>
      <c r="D2290" s="436">
        <v>0.23</v>
      </c>
      <c r="E2290" s="964">
        <f>Insumos!C585</f>
        <v>7.0798000000000005</v>
      </c>
      <c r="F2290" s="964"/>
      <c r="G2290" s="958">
        <f>ROUND(D2290*E2290,2)</f>
        <v>1.63</v>
      </c>
      <c r="H2290" s="958"/>
    </row>
    <row r="2291" spans="1:10">
      <c r="A2291" s="398"/>
      <c r="B2291" s="955" t="s">
        <v>536</v>
      </c>
      <c r="C2291" s="955"/>
      <c r="D2291" s="955"/>
      <c r="E2291" s="389"/>
      <c r="F2291" s="409"/>
      <c r="G2291" s="410"/>
      <c r="H2291" s="249">
        <f>SUM(G2286:H2288)</f>
        <v>10.81</v>
      </c>
    </row>
    <row r="2292" spans="1:10">
      <c r="A2292" s="398"/>
      <c r="B2292" s="955" t="s">
        <v>537</v>
      </c>
      <c r="C2292" s="955"/>
      <c r="D2292" s="955"/>
      <c r="E2292" s="389"/>
      <c r="F2292" s="409"/>
      <c r="G2292" s="410"/>
      <c r="H2292" s="249">
        <f>SUM(G2289:H2290)</f>
        <v>3.62</v>
      </c>
    </row>
    <row r="2293" spans="1:10">
      <c r="A2293" s="398"/>
      <c r="B2293" s="955" t="s">
        <v>1937</v>
      </c>
      <c r="C2293" s="955"/>
      <c r="D2293" s="955"/>
      <c r="E2293" s="389"/>
      <c r="F2293" s="409"/>
      <c r="G2293" s="410"/>
      <c r="H2293" s="249">
        <f>SUM(H2291:H2292)</f>
        <v>14.43</v>
      </c>
    </row>
    <row r="2294" spans="1:10">
      <c r="A2294" s="398"/>
      <c r="B2294" s="955" t="s">
        <v>538</v>
      </c>
      <c r="C2294" s="955"/>
      <c r="D2294" s="955"/>
      <c r="E2294" s="389"/>
      <c r="F2294" s="411" t="s">
        <v>539</v>
      </c>
      <c r="G2294" s="410"/>
      <c r="H2294" s="249">
        <f>ROUND(H2293*F2294,2)</f>
        <v>3.6</v>
      </c>
    </row>
    <row r="2295" spans="1:10">
      <c r="A2295" s="398"/>
      <c r="B2295" s="956" t="s">
        <v>540</v>
      </c>
      <c r="C2295" s="956"/>
      <c r="D2295" s="956"/>
      <c r="E2295" s="740"/>
      <c r="F2295" s="768"/>
      <c r="G2295" s="769"/>
      <c r="H2295" s="770">
        <f>SUM(H2293:H2294)</f>
        <v>18.03</v>
      </c>
    </row>
    <row r="2296" spans="1:10" s="579" customFormat="1">
      <c r="A2296" s="601"/>
      <c r="B2296" s="780"/>
      <c r="C2296" s="780"/>
      <c r="D2296" s="780"/>
      <c r="E2296" s="740"/>
      <c r="F2296" s="768"/>
      <c r="G2296" s="769"/>
      <c r="H2296" s="770"/>
      <c r="I2296" s="400"/>
      <c r="J2296" s="404"/>
    </row>
    <row r="2297" spans="1:10">
      <c r="A2297" s="403" t="s">
        <v>2484</v>
      </c>
      <c r="B2297" s="961" t="s">
        <v>771</v>
      </c>
      <c r="C2297" s="961"/>
      <c r="D2297" s="961"/>
      <c r="E2297" s="961"/>
      <c r="F2297" s="961"/>
      <c r="G2297" s="402"/>
      <c r="H2297" s="403" t="s">
        <v>14</v>
      </c>
    </row>
    <row r="2298" spans="1:10" s="406" customFormat="1" ht="15">
      <c r="A2298" s="398"/>
      <c r="B2298" s="230" t="s">
        <v>772</v>
      </c>
      <c r="C2298" s="231" t="s">
        <v>14</v>
      </c>
      <c r="D2298" s="401">
        <v>1</v>
      </c>
      <c r="E2298" s="964">
        <f>Insumos!C586</f>
        <v>8.899799999999999</v>
      </c>
      <c r="F2298" s="964"/>
      <c r="G2298" s="958">
        <f>ROUND(D2298*E2298,2)</f>
        <v>8.9</v>
      </c>
      <c r="H2298" s="958"/>
      <c r="I2298" s="407"/>
      <c r="J2298" s="408"/>
    </row>
    <row r="2299" spans="1:10">
      <c r="A2299" s="398"/>
      <c r="B2299" s="230" t="s">
        <v>746</v>
      </c>
      <c r="C2299" s="231" t="s">
        <v>492</v>
      </c>
      <c r="D2299" s="401">
        <v>6.5000000000000002E-2</v>
      </c>
      <c r="E2299" s="964">
        <f>Insumos!C587</f>
        <v>25.898600000000002</v>
      </c>
      <c r="F2299" s="964"/>
      <c r="G2299" s="958">
        <f>ROUND(D2299*E2299,2)</f>
        <v>1.68</v>
      </c>
      <c r="H2299" s="958"/>
    </row>
    <row r="2300" spans="1:10">
      <c r="A2300" s="398"/>
      <c r="B2300" s="230" t="s">
        <v>747</v>
      </c>
      <c r="C2300" s="231" t="s">
        <v>14</v>
      </c>
      <c r="D2300" s="401">
        <v>5.5E-2</v>
      </c>
      <c r="E2300" s="964">
        <f>Insumos!C588</f>
        <v>30.676100000000002</v>
      </c>
      <c r="F2300" s="964"/>
      <c r="G2300" s="958">
        <f>ROUND(D2300*E2300,2)</f>
        <v>1.69</v>
      </c>
      <c r="H2300" s="958"/>
    </row>
    <row r="2301" spans="1:10">
      <c r="A2301" s="398"/>
      <c r="B2301" s="230" t="s">
        <v>517</v>
      </c>
      <c r="C2301" s="231" t="s">
        <v>112</v>
      </c>
      <c r="D2301" s="401">
        <v>0.26</v>
      </c>
      <c r="E2301" s="964">
        <f>Insumos!C589</f>
        <v>8.6722999999999999</v>
      </c>
      <c r="F2301" s="964"/>
      <c r="G2301" s="958">
        <f>ROUND(D2301*E2301,2)</f>
        <v>2.25</v>
      </c>
      <c r="H2301" s="958"/>
    </row>
    <row r="2302" spans="1:10">
      <c r="A2302" s="398"/>
      <c r="B2302" s="230" t="s">
        <v>516</v>
      </c>
      <c r="C2302" s="231" t="s">
        <v>112</v>
      </c>
      <c r="D2302" s="401">
        <v>0.26</v>
      </c>
      <c r="E2302" s="964">
        <f>Insumos!C590</f>
        <v>7.0798000000000005</v>
      </c>
      <c r="F2302" s="964"/>
      <c r="G2302" s="958">
        <f>ROUND(D2302*E2302,2)</f>
        <v>1.84</v>
      </c>
      <c r="H2302" s="958"/>
    </row>
    <row r="2303" spans="1:10">
      <c r="A2303" s="398"/>
      <c r="B2303" s="955" t="s">
        <v>536</v>
      </c>
      <c r="C2303" s="955"/>
      <c r="D2303" s="955"/>
      <c r="E2303" s="389"/>
      <c r="F2303" s="409"/>
      <c r="G2303" s="410"/>
      <c r="H2303" s="249">
        <f>SUM(G2298:H2300)</f>
        <v>12.27</v>
      </c>
    </row>
    <row r="2304" spans="1:10">
      <c r="A2304" s="398"/>
      <c r="B2304" s="955" t="s">
        <v>537</v>
      </c>
      <c r="C2304" s="955"/>
      <c r="D2304" s="955"/>
      <c r="E2304" s="389"/>
      <c r="F2304" s="409"/>
      <c r="G2304" s="410"/>
      <c r="H2304" s="249">
        <f>SUM(G2301:H2302)</f>
        <v>4.09</v>
      </c>
    </row>
    <row r="2305" spans="1:10">
      <c r="A2305" s="398"/>
      <c r="B2305" s="955" t="s">
        <v>1937</v>
      </c>
      <c r="C2305" s="955"/>
      <c r="D2305" s="955"/>
      <c r="E2305" s="389"/>
      <c r="F2305" s="409"/>
      <c r="G2305" s="410"/>
      <c r="H2305" s="249">
        <f>SUM(H2303:H2304)</f>
        <v>16.36</v>
      </c>
    </row>
    <row r="2306" spans="1:10">
      <c r="A2306" s="398"/>
      <c r="B2306" s="955" t="s">
        <v>538</v>
      </c>
      <c r="C2306" s="955"/>
      <c r="D2306" s="955"/>
      <c r="E2306" s="389"/>
      <c r="F2306" s="411" t="s">
        <v>539</v>
      </c>
      <c r="G2306" s="410"/>
      <c r="H2306" s="249">
        <f>ROUND(H2305*F2306,2)</f>
        <v>4.08</v>
      </c>
    </row>
    <row r="2307" spans="1:10">
      <c r="A2307" s="398"/>
      <c r="B2307" s="956" t="s">
        <v>540</v>
      </c>
      <c r="C2307" s="956"/>
      <c r="D2307" s="956"/>
      <c r="E2307" s="740"/>
      <c r="F2307" s="768"/>
      <c r="G2307" s="769"/>
      <c r="H2307" s="770">
        <f>SUM(H2305:H2306)</f>
        <v>20.439999999999998</v>
      </c>
    </row>
    <row r="2308" spans="1:10" s="579" customFormat="1">
      <c r="A2308" s="601"/>
      <c r="B2308" s="780"/>
      <c r="C2308" s="780"/>
      <c r="D2308" s="780"/>
      <c r="E2308" s="740"/>
      <c r="F2308" s="768"/>
      <c r="G2308" s="769"/>
      <c r="H2308" s="770"/>
      <c r="I2308" s="400"/>
      <c r="J2308" s="404"/>
    </row>
    <row r="2309" spans="1:10">
      <c r="A2309" s="403" t="s">
        <v>2485</v>
      </c>
      <c r="B2309" s="961" t="s">
        <v>773</v>
      </c>
      <c r="C2309" s="961"/>
      <c r="D2309" s="961"/>
      <c r="E2309" s="961"/>
      <c r="F2309" s="961"/>
      <c r="G2309" s="402"/>
      <c r="H2309" s="403" t="s">
        <v>14</v>
      </c>
    </row>
    <row r="2310" spans="1:10" s="406" customFormat="1" ht="15">
      <c r="A2310" s="398"/>
      <c r="B2310" s="230" t="s">
        <v>746</v>
      </c>
      <c r="C2310" s="231" t="s">
        <v>492</v>
      </c>
      <c r="D2310" s="436">
        <v>7.5999999999999998E-2</v>
      </c>
      <c r="E2310" s="964">
        <f>Insumos!C591</f>
        <v>25.898600000000002</v>
      </c>
      <c r="F2310" s="964"/>
      <c r="G2310" s="958">
        <f>ROUND(D2310*E2310,2)</f>
        <v>1.97</v>
      </c>
      <c r="H2310" s="958"/>
      <c r="I2310" s="407"/>
      <c r="J2310" s="408"/>
    </row>
    <row r="2311" spans="1:10">
      <c r="A2311" s="398"/>
      <c r="B2311" s="230" t="s">
        <v>747</v>
      </c>
      <c r="C2311" s="231" t="s">
        <v>14</v>
      </c>
      <c r="D2311" s="436">
        <v>0.06</v>
      </c>
      <c r="E2311" s="964">
        <f>Insumos!C592</f>
        <v>30.676100000000002</v>
      </c>
      <c r="F2311" s="964"/>
      <c r="G2311" s="958">
        <f>ROUND(D2311*E2311,2)</f>
        <v>1.84</v>
      </c>
      <c r="H2311" s="958"/>
    </row>
    <row r="2312" spans="1:10">
      <c r="A2312" s="398"/>
      <c r="B2312" s="230" t="s">
        <v>774</v>
      </c>
      <c r="C2312" s="231" t="s">
        <v>14</v>
      </c>
      <c r="D2312" s="436">
        <v>1</v>
      </c>
      <c r="E2312" s="964">
        <f>Insumos!C593</f>
        <v>9.7005999999999997</v>
      </c>
      <c r="F2312" s="964"/>
      <c r="G2312" s="958">
        <f>ROUND(D2312*E2312,2)</f>
        <v>9.6999999999999993</v>
      </c>
      <c r="H2312" s="958"/>
    </row>
    <row r="2313" spans="1:10">
      <c r="A2313" s="398"/>
      <c r="B2313" s="230" t="s">
        <v>517</v>
      </c>
      <c r="C2313" s="231" t="s">
        <v>112</v>
      </c>
      <c r="D2313" s="436">
        <v>0.29850000000000027</v>
      </c>
      <c r="E2313" s="964">
        <f>Insumos!C594</f>
        <v>8.6722999999999999</v>
      </c>
      <c r="F2313" s="964"/>
      <c r="G2313" s="958">
        <f>ROUND(D2313*E2313,2)</f>
        <v>2.59</v>
      </c>
      <c r="H2313" s="958"/>
    </row>
    <row r="2314" spans="1:10">
      <c r="A2314" s="398"/>
      <c r="B2314" s="230" t="s">
        <v>775</v>
      </c>
      <c r="C2314" s="231" t="s">
        <v>112</v>
      </c>
      <c r="D2314" s="436">
        <v>0.30299999999999999</v>
      </c>
      <c r="E2314" s="964">
        <f>Insumos!C595</f>
        <v>6.4064000000000005</v>
      </c>
      <c r="F2314" s="964"/>
      <c r="G2314" s="958">
        <f>ROUND(D2314*E2314,2)</f>
        <v>1.94</v>
      </c>
      <c r="H2314" s="958"/>
    </row>
    <row r="2315" spans="1:10">
      <c r="A2315" s="398"/>
      <c r="B2315" s="955" t="s">
        <v>536</v>
      </c>
      <c r="C2315" s="955"/>
      <c r="D2315" s="955"/>
      <c r="E2315" s="389"/>
      <c r="F2315" s="409"/>
      <c r="G2315" s="410"/>
      <c r="H2315" s="249">
        <f>SUM(G2310:H2312)</f>
        <v>13.51</v>
      </c>
    </row>
    <row r="2316" spans="1:10">
      <c r="A2316" s="398"/>
      <c r="B2316" s="955" t="s">
        <v>537</v>
      </c>
      <c r="C2316" s="955"/>
      <c r="D2316" s="955"/>
      <c r="E2316" s="389"/>
      <c r="F2316" s="409"/>
      <c r="G2316" s="410"/>
      <c r="H2316" s="249">
        <f>SUM(G2313:H2314)</f>
        <v>4.5299999999999994</v>
      </c>
    </row>
    <row r="2317" spans="1:10">
      <c r="A2317" s="398"/>
      <c r="B2317" s="955" t="s">
        <v>1937</v>
      </c>
      <c r="C2317" s="955"/>
      <c r="D2317" s="955"/>
      <c r="E2317" s="389"/>
      <c r="F2317" s="409"/>
      <c r="G2317" s="410"/>
      <c r="H2317" s="249">
        <f>SUM(H2315:H2316)</f>
        <v>18.04</v>
      </c>
    </row>
    <row r="2318" spans="1:10">
      <c r="A2318" s="398"/>
      <c r="B2318" s="955" t="s">
        <v>538</v>
      </c>
      <c r="C2318" s="955"/>
      <c r="D2318" s="955"/>
      <c r="E2318" s="389"/>
      <c r="F2318" s="411" t="s">
        <v>539</v>
      </c>
      <c r="G2318" s="410"/>
      <c r="H2318" s="249">
        <f>ROUND(H2317*F2318,2)</f>
        <v>4.5</v>
      </c>
    </row>
    <row r="2319" spans="1:10">
      <c r="A2319" s="398"/>
      <c r="B2319" s="956" t="s">
        <v>540</v>
      </c>
      <c r="C2319" s="956"/>
      <c r="D2319" s="956"/>
      <c r="E2319" s="740"/>
      <c r="F2319" s="768"/>
      <c r="G2319" s="769"/>
      <c r="H2319" s="770">
        <f>SUM(H2317:H2318)</f>
        <v>22.54</v>
      </c>
    </row>
    <row r="2320" spans="1:10" s="579" customFormat="1">
      <c r="A2320" s="601"/>
      <c r="B2320" s="780"/>
      <c r="C2320" s="780"/>
      <c r="D2320" s="780"/>
      <c r="E2320" s="740"/>
      <c r="F2320" s="768"/>
      <c r="G2320" s="769"/>
      <c r="H2320" s="770"/>
      <c r="I2320" s="400"/>
      <c r="J2320" s="404"/>
    </row>
    <row r="2321" spans="1:10" ht="24" customHeight="1">
      <c r="A2321" s="403" t="s">
        <v>2486</v>
      </c>
      <c r="B2321" s="961" t="s">
        <v>776</v>
      </c>
      <c r="C2321" s="961"/>
      <c r="D2321" s="961"/>
      <c r="E2321" s="961"/>
      <c r="F2321" s="961"/>
      <c r="G2321" s="402"/>
      <c r="H2321" s="403" t="s">
        <v>14</v>
      </c>
    </row>
    <row r="2322" spans="1:10" s="406" customFormat="1" ht="15">
      <c r="A2322" s="398"/>
      <c r="B2322" s="230" t="s">
        <v>746</v>
      </c>
      <c r="C2322" s="231" t="s">
        <v>492</v>
      </c>
      <c r="D2322" s="401">
        <v>8.2400000000000001E-2</v>
      </c>
      <c r="E2322" s="964">
        <f>Insumos!C596</f>
        <v>25.898600000000002</v>
      </c>
      <c r="F2322" s="964"/>
      <c r="G2322" s="958">
        <f>ROUND(D2322*E2322,2)</f>
        <v>2.13</v>
      </c>
      <c r="H2322" s="958"/>
      <c r="I2322" s="407"/>
      <c r="J2322" s="408"/>
    </row>
    <row r="2323" spans="1:10">
      <c r="A2323" s="398"/>
      <c r="B2323" s="230" t="s">
        <v>747</v>
      </c>
      <c r="C2323" s="231" t="s">
        <v>14</v>
      </c>
      <c r="D2323" s="401">
        <v>6.5000000000000002E-2</v>
      </c>
      <c r="E2323" s="964">
        <f>Insumos!C597</f>
        <v>30.676100000000002</v>
      </c>
      <c r="F2323" s="964"/>
      <c r="G2323" s="958">
        <f>ROUND(D2323*E2323,2)</f>
        <v>1.99</v>
      </c>
      <c r="H2323" s="958"/>
    </row>
    <row r="2324" spans="1:10">
      <c r="A2324" s="398"/>
      <c r="B2324" s="230" t="s">
        <v>777</v>
      </c>
      <c r="C2324" s="231" t="s">
        <v>14</v>
      </c>
      <c r="D2324" s="401">
        <v>0.99937500000000012</v>
      </c>
      <c r="E2324" s="964">
        <f>Insumos!C598</f>
        <v>15.670199999999999</v>
      </c>
      <c r="F2324" s="964"/>
      <c r="G2324" s="958">
        <f>ROUND(D2324*E2324,2)</f>
        <v>15.66</v>
      </c>
      <c r="H2324" s="958"/>
    </row>
    <row r="2325" spans="1:10">
      <c r="A2325" s="398"/>
      <c r="B2325" s="230" t="s">
        <v>517</v>
      </c>
      <c r="C2325" s="231" t="s">
        <v>112</v>
      </c>
      <c r="D2325" s="401">
        <v>0.34</v>
      </c>
      <c r="E2325" s="964">
        <f>Insumos!C599</f>
        <v>8.6722999999999999</v>
      </c>
      <c r="F2325" s="964"/>
      <c r="G2325" s="958">
        <f>ROUND(D2325*E2325,2)</f>
        <v>2.95</v>
      </c>
      <c r="H2325" s="958"/>
    </row>
    <row r="2326" spans="1:10">
      <c r="A2326" s="398"/>
      <c r="B2326" s="230" t="s">
        <v>509</v>
      </c>
      <c r="C2326" s="231" t="s">
        <v>112</v>
      </c>
      <c r="D2326" s="401">
        <v>0.34</v>
      </c>
      <c r="E2326" s="964">
        <f>Insumos!C600</f>
        <v>6.4064000000000005</v>
      </c>
      <c r="F2326" s="964"/>
      <c r="G2326" s="958">
        <f>ROUND(D2326*E2326,2)</f>
        <v>2.1800000000000002</v>
      </c>
      <c r="H2326" s="958"/>
    </row>
    <row r="2327" spans="1:10">
      <c r="A2327" s="398"/>
      <c r="B2327" s="955" t="s">
        <v>536</v>
      </c>
      <c r="C2327" s="955"/>
      <c r="D2327" s="955"/>
      <c r="E2327" s="389"/>
      <c r="F2327" s="409"/>
      <c r="G2327" s="410"/>
      <c r="H2327" s="249">
        <f>SUM(G2322:H2324)</f>
        <v>19.78</v>
      </c>
    </row>
    <row r="2328" spans="1:10">
      <c r="A2328" s="398"/>
      <c r="B2328" s="955" t="s">
        <v>537</v>
      </c>
      <c r="C2328" s="955"/>
      <c r="D2328" s="955"/>
      <c r="E2328" s="389"/>
      <c r="F2328" s="409"/>
      <c r="G2328" s="410"/>
      <c r="H2328" s="249">
        <f>SUM(G2325:H2326)</f>
        <v>5.1300000000000008</v>
      </c>
    </row>
    <row r="2329" spans="1:10">
      <c r="A2329" s="398"/>
      <c r="B2329" s="955" t="s">
        <v>1937</v>
      </c>
      <c r="C2329" s="955"/>
      <c r="D2329" s="955"/>
      <c r="E2329" s="389"/>
      <c r="F2329" s="409"/>
      <c r="G2329" s="410"/>
      <c r="H2329" s="249">
        <f>SUM(H2327:H2328)</f>
        <v>24.910000000000004</v>
      </c>
    </row>
    <row r="2330" spans="1:10">
      <c r="A2330" s="398"/>
      <c r="B2330" s="955" t="s">
        <v>538</v>
      </c>
      <c r="C2330" s="955"/>
      <c r="D2330" s="955"/>
      <c r="E2330" s="389"/>
      <c r="F2330" s="411" t="s">
        <v>539</v>
      </c>
      <c r="G2330" s="410"/>
      <c r="H2330" s="249">
        <f>ROUND(H2329*F2330,2)</f>
        <v>6.22</v>
      </c>
    </row>
    <row r="2331" spans="1:10">
      <c r="A2331" s="398"/>
      <c r="B2331" s="956" t="s">
        <v>540</v>
      </c>
      <c r="C2331" s="956"/>
      <c r="D2331" s="956"/>
      <c r="E2331" s="740"/>
      <c r="F2331" s="768"/>
      <c r="G2331" s="769"/>
      <c r="H2331" s="770">
        <f>SUM(H2329:H2330)</f>
        <v>31.130000000000003</v>
      </c>
    </row>
    <row r="2332" spans="1:10" s="579" customFormat="1">
      <c r="A2332" s="601"/>
      <c r="B2332" s="780"/>
      <c r="C2332" s="780"/>
      <c r="D2332" s="780"/>
      <c r="E2332" s="740"/>
      <c r="F2332" s="768"/>
      <c r="G2332" s="769"/>
      <c r="H2332" s="770"/>
      <c r="I2332" s="400"/>
      <c r="J2332" s="404"/>
    </row>
    <row r="2333" spans="1:10">
      <c r="A2333" s="403" t="s">
        <v>2487</v>
      </c>
      <c r="B2333" s="961" t="s">
        <v>778</v>
      </c>
      <c r="C2333" s="961"/>
      <c r="D2333" s="961"/>
      <c r="E2333" s="961"/>
      <c r="F2333" s="961"/>
      <c r="G2333" s="402"/>
      <c r="H2333" s="403" t="s">
        <v>14</v>
      </c>
    </row>
    <row r="2334" spans="1:10" s="406" customFormat="1" ht="15">
      <c r="A2334" s="398"/>
      <c r="B2334" s="230" t="s">
        <v>746</v>
      </c>
      <c r="C2334" s="231" t="s">
        <v>492</v>
      </c>
      <c r="D2334" s="401">
        <v>1.2E-2</v>
      </c>
      <c r="E2334" s="964">
        <f>Insumos!C601</f>
        <v>25.898600000000002</v>
      </c>
      <c r="F2334" s="964"/>
      <c r="G2334" s="958">
        <f>ROUND(D2334*E2334,2)</f>
        <v>0.31</v>
      </c>
      <c r="H2334" s="958"/>
      <c r="I2334" s="407"/>
      <c r="J2334" s="408"/>
    </row>
    <row r="2335" spans="1:10">
      <c r="A2335" s="398"/>
      <c r="B2335" s="230" t="s">
        <v>279</v>
      </c>
      <c r="C2335" s="231" t="s">
        <v>14</v>
      </c>
      <c r="D2335" s="401">
        <v>1</v>
      </c>
      <c r="E2335" s="964">
        <f>Insumos!C602</f>
        <v>24.078600000000002</v>
      </c>
      <c r="F2335" s="964"/>
      <c r="G2335" s="958">
        <f>ROUND(D2335*E2335,2)</f>
        <v>24.08</v>
      </c>
      <c r="H2335" s="958"/>
    </row>
    <row r="2336" spans="1:10">
      <c r="A2336" s="398"/>
      <c r="B2336" s="230" t="s">
        <v>747</v>
      </c>
      <c r="C2336" s="231" t="s">
        <v>14</v>
      </c>
      <c r="D2336" s="401">
        <v>0.01</v>
      </c>
      <c r="E2336" s="964">
        <f>Insumos!C603</f>
        <v>30.676100000000002</v>
      </c>
      <c r="F2336" s="964"/>
      <c r="G2336" s="958">
        <f>ROUND(D2336*E2336,2)</f>
        <v>0.31</v>
      </c>
      <c r="H2336" s="958"/>
    </row>
    <row r="2337" spans="1:10">
      <c r="A2337" s="398"/>
      <c r="B2337" s="230" t="s">
        <v>509</v>
      </c>
      <c r="C2337" s="231" t="s">
        <v>112</v>
      </c>
      <c r="D2337" s="401">
        <v>0.08</v>
      </c>
      <c r="E2337" s="964">
        <f>Insumos!C604</f>
        <v>6.4064000000000005</v>
      </c>
      <c r="F2337" s="964"/>
      <c r="G2337" s="958">
        <f>ROUND(D2337*E2337,2)</f>
        <v>0.51</v>
      </c>
      <c r="H2337" s="958"/>
    </row>
    <row r="2338" spans="1:10">
      <c r="A2338" s="398"/>
      <c r="B2338" s="230" t="s">
        <v>517</v>
      </c>
      <c r="C2338" s="231" t="s">
        <v>112</v>
      </c>
      <c r="D2338" s="401">
        <v>0.08</v>
      </c>
      <c r="E2338" s="964">
        <f>Insumos!C605</f>
        <v>8.6722999999999999</v>
      </c>
      <c r="F2338" s="964"/>
      <c r="G2338" s="958">
        <f>ROUND(D2338*E2338,2)</f>
        <v>0.69</v>
      </c>
      <c r="H2338" s="958"/>
    </row>
    <row r="2339" spans="1:10">
      <c r="A2339" s="398"/>
      <c r="B2339" s="955" t="s">
        <v>536</v>
      </c>
      <c r="C2339" s="955"/>
      <c r="D2339" s="955"/>
      <c r="E2339" s="389"/>
      <c r="F2339" s="409"/>
      <c r="G2339" s="410"/>
      <c r="H2339" s="249">
        <f>SUM(G2334:H2336)</f>
        <v>24.699999999999996</v>
      </c>
    </row>
    <row r="2340" spans="1:10">
      <c r="A2340" s="398"/>
      <c r="B2340" s="955" t="s">
        <v>537</v>
      </c>
      <c r="C2340" s="955"/>
      <c r="D2340" s="955"/>
      <c r="E2340" s="389"/>
      <c r="F2340" s="409"/>
      <c r="G2340" s="410"/>
      <c r="H2340" s="249">
        <f>SUM(G2337:H2338)</f>
        <v>1.2</v>
      </c>
    </row>
    <row r="2341" spans="1:10">
      <c r="A2341" s="398"/>
      <c r="B2341" s="955" t="s">
        <v>1937</v>
      </c>
      <c r="C2341" s="955"/>
      <c r="D2341" s="955"/>
      <c r="E2341" s="389"/>
      <c r="F2341" s="409"/>
      <c r="G2341" s="410"/>
      <c r="H2341" s="249">
        <f>SUM(H2339:H2340)</f>
        <v>25.899999999999995</v>
      </c>
    </row>
    <row r="2342" spans="1:10">
      <c r="A2342" s="398"/>
      <c r="B2342" s="955" t="s">
        <v>538</v>
      </c>
      <c r="C2342" s="955"/>
      <c r="D2342" s="955"/>
      <c r="E2342" s="389"/>
      <c r="F2342" s="411" t="s">
        <v>539</v>
      </c>
      <c r="G2342" s="410"/>
      <c r="H2342" s="249">
        <f>ROUND(H2341*F2342,2)</f>
        <v>6.46</v>
      </c>
    </row>
    <row r="2343" spans="1:10">
      <c r="A2343" s="398"/>
      <c r="B2343" s="956" t="s">
        <v>540</v>
      </c>
      <c r="C2343" s="956"/>
      <c r="D2343" s="956"/>
      <c r="E2343" s="740"/>
      <c r="F2343" s="768"/>
      <c r="G2343" s="769"/>
      <c r="H2343" s="770">
        <f>SUM(H2341:H2342)</f>
        <v>32.359999999999992</v>
      </c>
    </row>
    <row r="2344" spans="1:10" s="579" customFormat="1">
      <c r="A2344" s="601"/>
      <c r="B2344" s="780"/>
      <c r="C2344" s="780"/>
      <c r="D2344" s="780"/>
      <c r="E2344" s="740"/>
      <c r="F2344" s="768"/>
      <c r="G2344" s="769"/>
      <c r="H2344" s="770"/>
      <c r="I2344" s="400"/>
      <c r="J2344" s="404"/>
    </row>
    <row r="2345" spans="1:10">
      <c r="A2345" s="403" t="s">
        <v>2488</v>
      </c>
      <c r="B2345" s="961" t="s">
        <v>779</v>
      </c>
      <c r="C2345" s="961"/>
      <c r="D2345" s="961"/>
      <c r="E2345" s="961"/>
      <c r="F2345" s="961"/>
      <c r="G2345" s="402"/>
      <c r="H2345" s="403" t="s">
        <v>14</v>
      </c>
    </row>
    <row r="2346" spans="1:10" s="406" customFormat="1" ht="15">
      <c r="A2346" s="398"/>
      <c r="B2346" s="230" t="s">
        <v>746</v>
      </c>
      <c r="C2346" s="231" t="s">
        <v>492</v>
      </c>
      <c r="D2346" s="401">
        <v>7.1000000000000004E-3</v>
      </c>
      <c r="E2346" s="964">
        <f>Insumos!C606</f>
        <v>25.898600000000002</v>
      </c>
      <c r="F2346" s="964"/>
      <c r="G2346" s="958">
        <f>ROUND(D2346*E2346,2)</f>
        <v>0.18</v>
      </c>
      <c r="H2346" s="958"/>
      <c r="I2346" s="407"/>
      <c r="J2346" s="408"/>
    </row>
    <row r="2347" spans="1:10">
      <c r="A2347" s="398"/>
      <c r="B2347" s="230" t="s">
        <v>780</v>
      </c>
      <c r="C2347" s="231" t="s">
        <v>14</v>
      </c>
      <c r="D2347" s="401">
        <v>1</v>
      </c>
      <c r="E2347" s="964">
        <f>Insumos!C607</f>
        <v>0.37309999999999999</v>
      </c>
      <c r="F2347" s="964"/>
      <c r="G2347" s="958">
        <f>ROUND(D2347*E2347,2)</f>
        <v>0.37</v>
      </c>
      <c r="H2347" s="958"/>
    </row>
    <row r="2348" spans="1:10">
      <c r="A2348" s="398"/>
      <c r="B2348" s="230" t="s">
        <v>747</v>
      </c>
      <c r="C2348" s="231" t="s">
        <v>14</v>
      </c>
      <c r="D2348" s="401">
        <v>2.5000000000000001E-3</v>
      </c>
      <c r="E2348" s="964">
        <f>Insumos!C608</f>
        <v>30.676100000000002</v>
      </c>
      <c r="F2348" s="964"/>
      <c r="G2348" s="958">
        <f>ROUND(D2348*E2348,2)</f>
        <v>0.08</v>
      </c>
      <c r="H2348" s="958"/>
    </row>
    <row r="2349" spans="1:10">
      <c r="A2349" s="398"/>
      <c r="B2349" s="230" t="s">
        <v>509</v>
      </c>
      <c r="C2349" s="231" t="s">
        <v>112</v>
      </c>
      <c r="D2349" s="401">
        <v>0.18</v>
      </c>
      <c r="E2349" s="964">
        <f>Insumos!C609</f>
        <v>6.4064000000000005</v>
      </c>
      <c r="F2349" s="964"/>
      <c r="G2349" s="958">
        <f>ROUND(D2349*E2349,2)</f>
        <v>1.1499999999999999</v>
      </c>
      <c r="H2349" s="958"/>
    </row>
    <row r="2350" spans="1:10">
      <c r="A2350" s="398"/>
      <c r="B2350" s="230" t="s">
        <v>517</v>
      </c>
      <c r="C2350" s="231" t="s">
        <v>112</v>
      </c>
      <c r="D2350" s="401">
        <v>0.18</v>
      </c>
      <c r="E2350" s="964">
        <f>Insumos!C610</f>
        <v>8.6722999999999999</v>
      </c>
      <c r="F2350" s="964"/>
      <c r="G2350" s="958">
        <f>ROUND(D2350*E2350,2)</f>
        <v>1.56</v>
      </c>
      <c r="H2350" s="958"/>
    </row>
    <row r="2351" spans="1:10">
      <c r="A2351" s="398"/>
      <c r="B2351" s="955" t="s">
        <v>536</v>
      </c>
      <c r="C2351" s="955"/>
      <c r="D2351" s="955"/>
      <c r="E2351" s="389"/>
      <c r="F2351" s="409"/>
      <c r="G2351" s="410"/>
      <c r="H2351" s="249">
        <f>SUM(G2346:H2348)</f>
        <v>0.63</v>
      </c>
    </row>
    <row r="2352" spans="1:10">
      <c r="A2352" s="398"/>
      <c r="B2352" s="955" t="s">
        <v>537</v>
      </c>
      <c r="C2352" s="955"/>
      <c r="D2352" s="955"/>
      <c r="E2352" s="389"/>
      <c r="F2352" s="409"/>
      <c r="G2352" s="410"/>
      <c r="H2352" s="249">
        <f>SUM(G2349:H2350)</f>
        <v>2.71</v>
      </c>
    </row>
    <row r="2353" spans="1:10">
      <c r="A2353" s="398"/>
      <c r="B2353" s="955" t="s">
        <v>1937</v>
      </c>
      <c r="C2353" s="955"/>
      <c r="D2353" s="955"/>
      <c r="E2353" s="389"/>
      <c r="F2353" s="409"/>
      <c r="G2353" s="410"/>
      <c r="H2353" s="249">
        <f>SUM(H2351:H2352)</f>
        <v>3.34</v>
      </c>
    </row>
    <row r="2354" spans="1:10">
      <c r="A2354" s="398"/>
      <c r="B2354" s="955" t="s">
        <v>538</v>
      </c>
      <c r="C2354" s="955"/>
      <c r="D2354" s="955"/>
      <c r="E2354" s="389"/>
      <c r="F2354" s="411" t="s">
        <v>539</v>
      </c>
      <c r="G2354" s="410"/>
      <c r="H2354" s="249">
        <f>ROUND(H2353*F2354,2)</f>
        <v>0.83</v>
      </c>
    </row>
    <row r="2355" spans="1:10">
      <c r="A2355" s="398"/>
      <c r="B2355" s="956" t="s">
        <v>540</v>
      </c>
      <c r="C2355" s="956"/>
      <c r="D2355" s="956"/>
      <c r="E2355" s="740"/>
      <c r="F2355" s="768"/>
      <c r="G2355" s="769"/>
      <c r="H2355" s="770">
        <f>SUM(H2353:H2354)</f>
        <v>4.17</v>
      </c>
    </row>
    <row r="2356" spans="1:10" s="579" customFormat="1">
      <c r="A2356" s="601"/>
      <c r="B2356" s="780"/>
      <c r="C2356" s="780"/>
      <c r="D2356" s="780"/>
      <c r="E2356" s="740"/>
      <c r="F2356" s="768"/>
      <c r="G2356" s="769"/>
      <c r="H2356" s="770"/>
      <c r="I2356" s="400"/>
      <c r="J2356" s="404"/>
    </row>
    <row r="2357" spans="1:10">
      <c r="A2357" s="403" t="s">
        <v>2489</v>
      </c>
      <c r="B2357" s="961" t="s">
        <v>781</v>
      </c>
      <c r="C2357" s="961"/>
      <c r="D2357" s="961"/>
      <c r="E2357" s="961"/>
      <c r="F2357" s="961"/>
      <c r="G2357" s="402"/>
      <c r="H2357" s="403" t="s">
        <v>14</v>
      </c>
    </row>
    <row r="2358" spans="1:10" s="406" customFormat="1" ht="15">
      <c r="A2358" s="398"/>
      <c r="B2358" s="230" t="s">
        <v>746</v>
      </c>
      <c r="C2358" s="231" t="s">
        <v>492</v>
      </c>
      <c r="D2358" s="436">
        <v>9.4999999999999998E-3</v>
      </c>
      <c r="E2358" s="964">
        <f>Insumos!C611</f>
        <v>25.898600000000002</v>
      </c>
      <c r="F2358" s="964"/>
      <c r="G2358" s="958">
        <f>ROUND(D2358*E2358,2)</f>
        <v>0.25</v>
      </c>
      <c r="H2358" s="958"/>
      <c r="I2358" s="407"/>
      <c r="J2358" s="408"/>
    </row>
    <row r="2359" spans="1:10">
      <c r="A2359" s="398"/>
      <c r="B2359" s="230" t="s">
        <v>747</v>
      </c>
      <c r="C2359" s="231" t="s">
        <v>14</v>
      </c>
      <c r="D2359" s="436">
        <v>2.9399999999999999E-3</v>
      </c>
      <c r="E2359" s="964">
        <f>Insumos!C612</f>
        <v>30.676100000000002</v>
      </c>
      <c r="F2359" s="964"/>
      <c r="G2359" s="958">
        <f>ROUND(D2359*E2359,2)</f>
        <v>0.09</v>
      </c>
      <c r="H2359" s="958"/>
    </row>
    <row r="2360" spans="1:10">
      <c r="A2360" s="398"/>
      <c r="B2360" s="230" t="s">
        <v>782</v>
      </c>
      <c r="C2360" s="231" t="s">
        <v>14</v>
      </c>
      <c r="D2360" s="436">
        <v>1</v>
      </c>
      <c r="E2360" s="964">
        <f>Insumos!C613</f>
        <v>0.96460000000000012</v>
      </c>
      <c r="F2360" s="964"/>
      <c r="G2360" s="958">
        <f>ROUND(D2360*E2360,2)</f>
        <v>0.96</v>
      </c>
      <c r="H2360" s="958"/>
    </row>
    <row r="2361" spans="1:10">
      <c r="A2361" s="398"/>
      <c r="B2361" s="230" t="s">
        <v>517</v>
      </c>
      <c r="C2361" s="231" t="s">
        <v>112</v>
      </c>
      <c r="D2361" s="436">
        <v>0.18</v>
      </c>
      <c r="E2361" s="964">
        <f>Insumos!C614</f>
        <v>8.6722999999999999</v>
      </c>
      <c r="F2361" s="964"/>
      <c r="G2361" s="958">
        <f>ROUND(D2361*E2361,2)</f>
        <v>1.56</v>
      </c>
      <c r="H2361" s="958"/>
    </row>
    <row r="2362" spans="1:10">
      <c r="A2362" s="398"/>
      <c r="B2362" s="230" t="s">
        <v>509</v>
      </c>
      <c r="C2362" s="231" t="s">
        <v>112</v>
      </c>
      <c r="D2362" s="436">
        <v>0.18</v>
      </c>
      <c r="E2362" s="964">
        <f>Insumos!C615</f>
        <v>6.4064000000000005</v>
      </c>
      <c r="F2362" s="964"/>
      <c r="G2362" s="958">
        <f>ROUND(D2362*E2362,2)</f>
        <v>1.1499999999999999</v>
      </c>
      <c r="H2362" s="958"/>
    </row>
    <row r="2363" spans="1:10">
      <c r="A2363" s="398"/>
      <c r="B2363" s="955" t="s">
        <v>536</v>
      </c>
      <c r="C2363" s="955"/>
      <c r="D2363" s="955"/>
      <c r="E2363" s="389"/>
      <c r="F2363" s="409"/>
      <c r="G2363" s="410"/>
      <c r="H2363" s="249">
        <f>SUM(G2358:H2360)</f>
        <v>1.2999999999999998</v>
      </c>
    </row>
    <row r="2364" spans="1:10">
      <c r="A2364" s="398"/>
      <c r="B2364" s="955" t="s">
        <v>537</v>
      </c>
      <c r="C2364" s="955"/>
      <c r="D2364" s="955"/>
      <c r="E2364" s="389"/>
      <c r="F2364" s="409"/>
      <c r="G2364" s="410"/>
      <c r="H2364" s="249">
        <f>SUM(G2361:H2362)</f>
        <v>2.71</v>
      </c>
    </row>
    <row r="2365" spans="1:10">
      <c r="A2365" s="398"/>
      <c r="B2365" s="955" t="s">
        <v>1937</v>
      </c>
      <c r="C2365" s="955"/>
      <c r="D2365" s="955"/>
      <c r="E2365" s="389"/>
      <c r="F2365" s="409"/>
      <c r="G2365" s="410"/>
      <c r="H2365" s="249">
        <f>SUM(H2363:H2364)</f>
        <v>4.01</v>
      </c>
    </row>
    <row r="2366" spans="1:10">
      <c r="A2366" s="398"/>
      <c r="B2366" s="955" t="s">
        <v>538</v>
      </c>
      <c r="C2366" s="955"/>
      <c r="D2366" s="955"/>
      <c r="E2366" s="389"/>
      <c r="F2366" s="411" t="s">
        <v>539</v>
      </c>
      <c r="G2366" s="410"/>
      <c r="H2366" s="249">
        <f>ROUND(H2365*F2366,2)</f>
        <v>1</v>
      </c>
    </row>
    <row r="2367" spans="1:10">
      <c r="A2367" s="398"/>
      <c r="B2367" s="956" t="s">
        <v>540</v>
      </c>
      <c r="C2367" s="956"/>
      <c r="D2367" s="956"/>
      <c r="E2367" s="740"/>
      <c r="F2367" s="768"/>
      <c r="G2367" s="769"/>
      <c r="H2367" s="770">
        <f>SUM(H2365:H2366)</f>
        <v>5.01</v>
      </c>
    </row>
    <row r="2368" spans="1:10" s="579" customFormat="1">
      <c r="A2368" s="601"/>
      <c r="B2368" s="780"/>
      <c r="C2368" s="780"/>
      <c r="D2368" s="780"/>
      <c r="E2368" s="740"/>
      <c r="F2368" s="768"/>
      <c r="G2368" s="769"/>
      <c r="H2368" s="770"/>
      <c r="I2368" s="400"/>
      <c r="J2368" s="404"/>
    </row>
    <row r="2369" spans="1:10">
      <c r="A2369" s="403" t="s">
        <v>2490</v>
      </c>
      <c r="B2369" s="961" t="s">
        <v>783</v>
      </c>
      <c r="C2369" s="961"/>
      <c r="D2369" s="961"/>
      <c r="E2369" s="961"/>
      <c r="F2369" s="961"/>
      <c r="G2369" s="402"/>
      <c r="H2369" s="403" t="s">
        <v>14</v>
      </c>
    </row>
    <row r="2370" spans="1:10" s="406" customFormat="1" ht="15">
      <c r="A2370" s="398"/>
      <c r="B2370" s="230" t="s">
        <v>746</v>
      </c>
      <c r="C2370" s="231" t="s">
        <v>492</v>
      </c>
      <c r="D2370" s="436">
        <v>1.2E-2</v>
      </c>
      <c r="E2370" s="964">
        <f>Insumos!C616</f>
        <v>25.898600000000002</v>
      </c>
      <c r="F2370" s="964"/>
      <c r="G2370" s="958">
        <f>ROUND(D2370*E2370,2)</f>
        <v>0.31</v>
      </c>
      <c r="H2370" s="958"/>
      <c r="I2370" s="407"/>
      <c r="J2370" s="408"/>
    </row>
    <row r="2371" spans="1:10">
      <c r="A2371" s="398"/>
      <c r="B2371" s="230" t="s">
        <v>747</v>
      </c>
      <c r="C2371" s="231" t="s">
        <v>14</v>
      </c>
      <c r="D2371" s="436">
        <v>5.2800000000000425E-3</v>
      </c>
      <c r="E2371" s="964">
        <f>Insumos!C617</f>
        <v>30.676100000000002</v>
      </c>
      <c r="F2371" s="964"/>
      <c r="G2371" s="958">
        <f>ROUND(D2371*E2371,2)</f>
        <v>0.16</v>
      </c>
      <c r="H2371" s="958"/>
    </row>
    <row r="2372" spans="1:10">
      <c r="A2372" s="398"/>
      <c r="B2372" s="230" t="s">
        <v>784</v>
      </c>
      <c r="C2372" s="231" t="s">
        <v>14</v>
      </c>
      <c r="D2372" s="436">
        <v>1</v>
      </c>
      <c r="E2372" s="964">
        <f>Insumos!C618</f>
        <v>2.6025999999999998</v>
      </c>
      <c r="F2372" s="964"/>
      <c r="G2372" s="958">
        <f>ROUND(D2372*E2372,2)</f>
        <v>2.6</v>
      </c>
      <c r="H2372" s="958"/>
    </row>
    <row r="2373" spans="1:10">
      <c r="A2373" s="398"/>
      <c r="B2373" s="230" t="s">
        <v>509</v>
      </c>
      <c r="C2373" s="231" t="s">
        <v>112</v>
      </c>
      <c r="D2373" s="436">
        <v>0.24374999999999999</v>
      </c>
      <c r="E2373" s="964">
        <f>Insumos!C619</f>
        <v>6.4064000000000005</v>
      </c>
      <c r="F2373" s="964"/>
      <c r="G2373" s="958">
        <f>ROUND(D2373*E2373,2)</f>
        <v>1.56</v>
      </c>
      <c r="H2373" s="958"/>
    </row>
    <row r="2374" spans="1:10">
      <c r="A2374" s="398"/>
      <c r="B2374" s="230" t="s">
        <v>517</v>
      </c>
      <c r="C2374" s="231" t="s">
        <v>112</v>
      </c>
      <c r="D2374" s="436">
        <v>0.25</v>
      </c>
      <c r="E2374" s="964">
        <f>Insumos!C620</f>
        <v>8.6722999999999999</v>
      </c>
      <c r="F2374" s="964"/>
      <c r="G2374" s="958">
        <f>ROUND(D2374*E2374,2)</f>
        <v>2.17</v>
      </c>
      <c r="H2374" s="958"/>
    </row>
    <row r="2375" spans="1:10">
      <c r="A2375" s="398"/>
      <c r="B2375" s="955" t="s">
        <v>536</v>
      </c>
      <c r="C2375" s="955"/>
      <c r="D2375" s="955"/>
      <c r="E2375" s="389"/>
      <c r="F2375" s="409"/>
      <c r="G2375" s="410"/>
      <c r="H2375" s="249">
        <f>SUM(G2370:H2372)</f>
        <v>3.0700000000000003</v>
      </c>
    </row>
    <row r="2376" spans="1:10">
      <c r="A2376" s="398"/>
      <c r="B2376" s="955" t="s">
        <v>537</v>
      </c>
      <c r="C2376" s="955"/>
      <c r="D2376" s="955"/>
      <c r="E2376" s="389"/>
      <c r="F2376" s="409"/>
      <c r="G2376" s="410"/>
      <c r="H2376" s="249">
        <f>SUM(G2373:H2374)</f>
        <v>3.73</v>
      </c>
    </row>
    <row r="2377" spans="1:10">
      <c r="A2377" s="398"/>
      <c r="B2377" s="955" t="s">
        <v>1937</v>
      </c>
      <c r="C2377" s="955"/>
      <c r="D2377" s="955"/>
      <c r="E2377" s="389"/>
      <c r="F2377" s="409"/>
      <c r="G2377" s="410"/>
      <c r="H2377" s="249">
        <f>SUM(H2375:H2376)</f>
        <v>6.8000000000000007</v>
      </c>
    </row>
    <row r="2378" spans="1:10">
      <c r="A2378" s="398"/>
      <c r="B2378" s="955" t="s">
        <v>538</v>
      </c>
      <c r="C2378" s="955"/>
      <c r="D2378" s="955"/>
      <c r="E2378" s="389"/>
      <c r="F2378" s="411" t="s">
        <v>539</v>
      </c>
      <c r="G2378" s="410"/>
      <c r="H2378" s="249">
        <f>ROUND(H2377*F2378,2)</f>
        <v>1.7</v>
      </c>
    </row>
    <row r="2379" spans="1:10">
      <c r="A2379" s="398"/>
      <c r="B2379" s="956" t="s">
        <v>540</v>
      </c>
      <c r="C2379" s="956"/>
      <c r="D2379" s="956"/>
      <c r="E2379" s="740"/>
      <c r="F2379" s="768"/>
      <c r="G2379" s="769"/>
      <c r="H2379" s="770">
        <f>SUM(H2377:H2378)</f>
        <v>8.5</v>
      </c>
    </row>
    <row r="2380" spans="1:10" s="579" customFormat="1">
      <c r="A2380" s="601"/>
      <c r="B2380" s="780"/>
      <c r="C2380" s="780"/>
      <c r="D2380" s="780"/>
      <c r="E2380" s="740"/>
      <c r="F2380" s="768"/>
      <c r="G2380" s="769"/>
      <c r="H2380" s="770"/>
      <c r="I2380" s="400"/>
      <c r="J2380" s="404"/>
    </row>
    <row r="2381" spans="1:10">
      <c r="A2381" s="403" t="s">
        <v>2491</v>
      </c>
      <c r="B2381" s="961" t="s">
        <v>785</v>
      </c>
      <c r="C2381" s="961"/>
      <c r="D2381" s="961"/>
      <c r="E2381" s="961"/>
      <c r="F2381" s="961"/>
      <c r="G2381" s="402"/>
      <c r="H2381" s="403" t="s">
        <v>14</v>
      </c>
    </row>
    <row r="2382" spans="1:10" s="406" customFormat="1" ht="15">
      <c r="A2382" s="398"/>
      <c r="B2382" s="230" t="s">
        <v>746</v>
      </c>
      <c r="C2382" s="231" t="s">
        <v>492</v>
      </c>
      <c r="D2382" s="436">
        <v>2.8299999999999999E-2</v>
      </c>
      <c r="E2382" s="964">
        <f>Insumos!C621</f>
        <v>25.898600000000002</v>
      </c>
      <c r="F2382" s="964"/>
      <c r="G2382" s="958">
        <f>ROUND(D2382*E2382,2)</f>
        <v>0.73</v>
      </c>
      <c r="H2382" s="958"/>
      <c r="I2382" s="407"/>
      <c r="J2382" s="408"/>
    </row>
    <row r="2383" spans="1:10">
      <c r="A2383" s="398"/>
      <c r="B2383" s="230" t="s">
        <v>747</v>
      </c>
      <c r="C2383" s="231" t="s">
        <v>14</v>
      </c>
      <c r="D2383" s="436">
        <v>8.9999999999999993E-3</v>
      </c>
      <c r="E2383" s="964">
        <f>Insumos!C622</f>
        <v>30.676100000000002</v>
      </c>
      <c r="F2383" s="964"/>
      <c r="G2383" s="958">
        <f>ROUND(D2383*E2383,2)</f>
        <v>0.28000000000000003</v>
      </c>
      <c r="H2383" s="958"/>
    </row>
    <row r="2384" spans="1:10">
      <c r="A2384" s="398"/>
      <c r="B2384" s="230" t="s">
        <v>786</v>
      </c>
      <c r="C2384" s="231" t="s">
        <v>14</v>
      </c>
      <c r="D2384" s="436">
        <v>1</v>
      </c>
      <c r="E2384" s="964">
        <f>Insumos!C623</f>
        <v>40.831699999999998</v>
      </c>
      <c r="F2384" s="964"/>
      <c r="G2384" s="958">
        <f>ROUND(D2384*E2384,2)</f>
        <v>40.83</v>
      </c>
      <c r="H2384" s="958"/>
    </row>
    <row r="2385" spans="1:10">
      <c r="A2385" s="398"/>
      <c r="B2385" s="230" t="s">
        <v>509</v>
      </c>
      <c r="C2385" s="231" t="s">
        <v>112</v>
      </c>
      <c r="D2385" s="436">
        <v>0.32479999999999942</v>
      </c>
      <c r="E2385" s="964">
        <f>Insumos!C624</f>
        <v>6.4064000000000005</v>
      </c>
      <c r="F2385" s="964"/>
      <c r="G2385" s="958">
        <f>ROUND(D2385*E2385,2)</f>
        <v>2.08</v>
      </c>
      <c r="H2385" s="958"/>
    </row>
    <row r="2386" spans="1:10">
      <c r="A2386" s="398"/>
      <c r="B2386" s="230" t="s">
        <v>517</v>
      </c>
      <c r="C2386" s="231" t="s">
        <v>112</v>
      </c>
      <c r="D2386" s="436">
        <v>0.32</v>
      </c>
      <c r="E2386" s="964">
        <f>Insumos!C625</f>
        <v>8.6722999999999999</v>
      </c>
      <c r="F2386" s="964"/>
      <c r="G2386" s="958">
        <f>ROUND(D2386*E2386,2)</f>
        <v>2.78</v>
      </c>
      <c r="H2386" s="958"/>
    </row>
    <row r="2387" spans="1:10">
      <c r="A2387" s="398"/>
      <c r="B2387" s="955" t="s">
        <v>536</v>
      </c>
      <c r="C2387" s="955"/>
      <c r="D2387" s="955"/>
      <c r="E2387" s="389"/>
      <c r="F2387" s="409"/>
      <c r="G2387" s="410"/>
      <c r="H2387" s="249">
        <f>SUM(G2382:H2384)</f>
        <v>41.839999999999996</v>
      </c>
    </row>
    <row r="2388" spans="1:10">
      <c r="A2388" s="398"/>
      <c r="B2388" s="955" t="s">
        <v>537</v>
      </c>
      <c r="C2388" s="955"/>
      <c r="D2388" s="955"/>
      <c r="E2388" s="389"/>
      <c r="F2388" s="409"/>
      <c r="G2388" s="410"/>
      <c r="H2388" s="249">
        <f>SUM(G2385:H2386)</f>
        <v>4.8599999999999994</v>
      </c>
    </row>
    <row r="2389" spans="1:10">
      <c r="A2389" s="398"/>
      <c r="B2389" s="955" t="s">
        <v>1937</v>
      </c>
      <c r="C2389" s="955"/>
      <c r="D2389" s="955"/>
      <c r="E2389" s="389"/>
      <c r="F2389" s="409"/>
      <c r="G2389" s="410"/>
      <c r="H2389" s="249">
        <f>SUM(H2387:H2388)</f>
        <v>46.699999999999996</v>
      </c>
    </row>
    <row r="2390" spans="1:10">
      <c r="A2390" s="398"/>
      <c r="B2390" s="955" t="s">
        <v>538</v>
      </c>
      <c r="C2390" s="955"/>
      <c r="D2390" s="955"/>
      <c r="E2390" s="389"/>
      <c r="F2390" s="411" t="s">
        <v>539</v>
      </c>
      <c r="G2390" s="410"/>
      <c r="H2390" s="249">
        <f>ROUND(H2389*F2390,2)</f>
        <v>11.66</v>
      </c>
    </row>
    <row r="2391" spans="1:10">
      <c r="A2391" s="398"/>
      <c r="B2391" s="956" t="s">
        <v>540</v>
      </c>
      <c r="C2391" s="956"/>
      <c r="D2391" s="956"/>
      <c r="E2391" s="740"/>
      <c r="F2391" s="768"/>
      <c r="G2391" s="769"/>
      <c r="H2391" s="770">
        <f>SUM(H2389:H2390)</f>
        <v>58.36</v>
      </c>
    </row>
    <row r="2392" spans="1:10" s="579" customFormat="1">
      <c r="A2392" s="601"/>
      <c r="B2392" s="780"/>
      <c r="C2392" s="780"/>
      <c r="D2392" s="780"/>
      <c r="E2392" s="740"/>
      <c r="F2392" s="768"/>
      <c r="G2392" s="769"/>
      <c r="H2392" s="770"/>
      <c r="I2392" s="400"/>
      <c r="J2392" s="404"/>
    </row>
    <row r="2393" spans="1:10">
      <c r="A2393" s="403" t="s">
        <v>2492</v>
      </c>
      <c r="B2393" s="961" t="s">
        <v>787</v>
      </c>
      <c r="C2393" s="961"/>
      <c r="D2393" s="961"/>
      <c r="E2393" s="961"/>
      <c r="F2393" s="961"/>
      <c r="G2393" s="402"/>
      <c r="H2393" s="403" t="s">
        <v>14</v>
      </c>
    </row>
    <row r="2394" spans="1:10" s="406" customFormat="1" ht="15">
      <c r="A2394" s="398"/>
      <c r="B2394" s="230" t="s">
        <v>746</v>
      </c>
      <c r="C2394" s="231" t="s">
        <v>492</v>
      </c>
      <c r="D2394" s="401">
        <v>3.5000000000000003E-2</v>
      </c>
      <c r="E2394" s="964">
        <f>Insumos!C626</f>
        <v>25.898600000000002</v>
      </c>
      <c r="F2394" s="964"/>
      <c r="G2394" s="958">
        <f>ROUND(D2394*E2394,2)</f>
        <v>0.91</v>
      </c>
      <c r="H2394" s="958"/>
      <c r="I2394" s="407"/>
      <c r="J2394" s="408"/>
    </row>
    <row r="2395" spans="1:10">
      <c r="A2395" s="398"/>
      <c r="B2395" s="230" t="s">
        <v>788</v>
      </c>
      <c r="C2395" s="231" t="s">
        <v>14</v>
      </c>
      <c r="D2395" s="401">
        <v>1</v>
      </c>
      <c r="E2395" s="964">
        <f>Insumos!C627</f>
        <v>46.027799999999999</v>
      </c>
      <c r="F2395" s="964"/>
      <c r="G2395" s="958">
        <f>ROUND(D2395*E2395,2)</f>
        <v>46.03</v>
      </c>
      <c r="H2395" s="958"/>
    </row>
    <row r="2396" spans="1:10">
      <c r="A2396" s="398"/>
      <c r="B2396" s="230" t="s">
        <v>747</v>
      </c>
      <c r="C2396" s="231" t="s">
        <v>14</v>
      </c>
      <c r="D2396" s="401">
        <v>0.01</v>
      </c>
      <c r="E2396" s="964">
        <f>Insumos!C628</f>
        <v>30.676100000000002</v>
      </c>
      <c r="F2396" s="964"/>
      <c r="G2396" s="958">
        <f>ROUND(D2396*E2396,2)</f>
        <v>0.31</v>
      </c>
      <c r="H2396" s="958"/>
    </row>
    <row r="2397" spans="1:10">
      <c r="A2397" s="398"/>
      <c r="B2397" s="230" t="s">
        <v>517</v>
      </c>
      <c r="C2397" s="231" t="s">
        <v>112</v>
      </c>
      <c r="D2397" s="401">
        <v>0.36</v>
      </c>
      <c r="E2397" s="964">
        <f>Insumos!C629</f>
        <v>8.6722999999999999</v>
      </c>
      <c r="F2397" s="964"/>
      <c r="G2397" s="958">
        <f>ROUND(D2397*E2397,2)</f>
        <v>3.12</v>
      </c>
      <c r="H2397" s="958"/>
    </row>
    <row r="2398" spans="1:10">
      <c r="A2398" s="398"/>
      <c r="B2398" s="230" t="s">
        <v>509</v>
      </c>
      <c r="C2398" s="231" t="s">
        <v>112</v>
      </c>
      <c r="D2398" s="401">
        <v>0.36</v>
      </c>
      <c r="E2398" s="964">
        <f>Insumos!C630</f>
        <v>6.4064000000000005</v>
      </c>
      <c r="F2398" s="964"/>
      <c r="G2398" s="958">
        <f>ROUND(D2398*E2398,2)</f>
        <v>2.31</v>
      </c>
      <c r="H2398" s="958"/>
    </row>
    <row r="2399" spans="1:10">
      <c r="A2399" s="398"/>
      <c r="B2399" s="955" t="s">
        <v>536</v>
      </c>
      <c r="C2399" s="955"/>
      <c r="D2399" s="955"/>
      <c r="E2399" s="389"/>
      <c r="F2399" s="409"/>
      <c r="G2399" s="410"/>
      <c r="H2399" s="249">
        <f>SUM(G2394:H2396)</f>
        <v>47.25</v>
      </c>
    </row>
    <row r="2400" spans="1:10">
      <c r="A2400" s="398"/>
      <c r="B2400" s="955" t="s">
        <v>537</v>
      </c>
      <c r="C2400" s="955"/>
      <c r="D2400" s="955"/>
      <c r="E2400" s="389"/>
      <c r="F2400" s="409"/>
      <c r="G2400" s="410"/>
      <c r="H2400" s="249">
        <f>SUM(G2397:H2398)</f>
        <v>5.43</v>
      </c>
    </row>
    <row r="2401" spans="1:10">
      <c r="A2401" s="398"/>
      <c r="B2401" s="955" t="s">
        <v>1937</v>
      </c>
      <c r="C2401" s="955"/>
      <c r="D2401" s="955"/>
      <c r="E2401" s="389"/>
      <c r="F2401" s="409"/>
      <c r="G2401" s="410"/>
      <c r="H2401" s="249">
        <f>SUM(H2399:H2400)</f>
        <v>52.68</v>
      </c>
    </row>
    <row r="2402" spans="1:10">
      <c r="A2402" s="398"/>
      <c r="B2402" s="955" t="s">
        <v>538</v>
      </c>
      <c r="C2402" s="955"/>
      <c r="D2402" s="955"/>
      <c r="E2402" s="389"/>
      <c r="F2402" s="411" t="s">
        <v>539</v>
      </c>
      <c r="G2402" s="410"/>
      <c r="H2402" s="249">
        <f>ROUND(H2401*F2402,2)</f>
        <v>13.15</v>
      </c>
    </row>
    <row r="2403" spans="1:10">
      <c r="A2403" s="398"/>
      <c r="B2403" s="956" t="s">
        <v>540</v>
      </c>
      <c r="C2403" s="956"/>
      <c r="D2403" s="956"/>
      <c r="E2403" s="740"/>
      <c r="F2403" s="768"/>
      <c r="G2403" s="769"/>
      <c r="H2403" s="770">
        <f>SUM(H2401:H2402)</f>
        <v>65.83</v>
      </c>
    </row>
    <row r="2404" spans="1:10" s="579" customFormat="1">
      <c r="A2404" s="601"/>
      <c r="B2404" s="780"/>
      <c r="C2404" s="780"/>
      <c r="D2404" s="780"/>
      <c r="E2404" s="740"/>
      <c r="F2404" s="768"/>
      <c r="G2404" s="769"/>
      <c r="H2404" s="770"/>
      <c r="I2404" s="400"/>
      <c r="J2404" s="404"/>
    </row>
    <row r="2405" spans="1:10">
      <c r="A2405" s="403" t="s">
        <v>2493</v>
      </c>
      <c r="B2405" s="961" t="s">
        <v>789</v>
      </c>
      <c r="C2405" s="961"/>
      <c r="D2405" s="961"/>
      <c r="E2405" s="961"/>
      <c r="F2405" s="961"/>
      <c r="G2405" s="402"/>
      <c r="H2405" s="403" t="s">
        <v>14</v>
      </c>
    </row>
    <row r="2406" spans="1:10" s="406" customFormat="1" ht="15">
      <c r="A2406" s="398"/>
      <c r="B2406" s="230" t="s">
        <v>746</v>
      </c>
      <c r="C2406" s="231" t="s">
        <v>492</v>
      </c>
      <c r="D2406" s="401">
        <v>5.2999999999999999E-2</v>
      </c>
      <c r="E2406" s="964">
        <f>Insumos!C631</f>
        <v>25.898600000000002</v>
      </c>
      <c r="F2406" s="964"/>
      <c r="G2406" s="958">
        <f>ROUND(D2406*E2406,2)</f>
        <v>1.37</v>
      </c>
      <c r="H2406" s="958"/>
      <c r="I2406" s="407"/>
      <c r="J2406" s="408"/>
    </row>
    <row r="2407" spans="1:10">
      <c r="A2407" s="398"/>
      <c r="B2407" s="230" t="s">
        <v>747</v>
      </c>
      <c r="C2407" s="231" t="s">
        <v>14</v>
      </c>
      <c r="D2407" s="401">
        <v>1.2E-2</v>
      </c>
      <c r="E2407" s="964">
        <f>Insumos!C632</f>
        <v>30.676100000000002</v>
      </c>
      <c r="F2407" s="964"/>
      <c r="G2407" s="958">
        <f>ROUND(D2407*E2407,2)</f>
        <v>0.37</v>
      </c>
      <c r="H2407" s="958"/>
    </row>
    <row r="2408" spans="1:10">
      <c r="A2408" s="398"/>
      <c r="B2408" s="230" t="s">
        <v>790</v>
      </c>
      <c r="C2408" s="231" t="s">
        <v>14</v>
      </c>
      <c r="D2408" s="401">
        <v>1</v>
      </c>
      <c r="E2408" s="964">
        <f>Insumos!C633</f>
        <v>107.08880000000001</v>
      </c>
      <c r="F2408" s="964"/>
      <c r="G2408" s="958">
        <f>ROUND(D2408*E2408,2)</f>
        <v>107.09</v>
      </c>
      <c r="H2408" s="958"/>
    </row>
    <row r="2409" spans="1:10">
      <c r="A2409" s="398"/>
      <c r="B2409" s="230" t="s">
        <v>517</v>
      </c>
      <c r="C2409" s="231" t="s">
        <v>112</v>
      </c>
      <c r="D2409" s="401">
        <v>0.39900000000000502</v>
      </c>
      <c r="E2409" s="964">
        <f>Insumos!C634</f>
        <v>8.6722999999999999</v>
      </c>
      <c r="F2409" s="964"/>
      <c r="G2409" s="958">
        <f>ROUND(D2409*E2409,2)</f>
        <v>3.46</v>
      </c>
      <c r="H2409" s="958"/>
    </row>
    <row r="2410" spans="1:10">
      <c r="A2410" s="398"/>
      <c r="B2410" s="230" t="s">
        <v>509</v>
      </c>
      <c r="C2410" s="231" t="s">
        <v>112</v>
      </c>
      <c r="D2410" s="401">
        <v>0.4</v>
      </c>
      <c r="E2410" s="964">
        <f>Insumos!C635</f>
        <v>6.4064000000000005</v>
      </c>
      <c r="F2410" s="964"/>
      <c r="G2410" s="958">
        <f>ROUND(D2410*E2410,2)</f>
        <v>2.56</v>
      </c>
      <c r="H2410" s="958"/>
    </row>
    <row r="2411" spans="1:10">
      <c r="A2411" s="398"/>
      <c r="B2411" s="955" t="s">
        <v>536</v>
      </c>
      <c r="C2411" s="955"/>
      <c r="D2411" s="955"/>
      <c r="E2411" s="389"/>
      <c r="F2411" s="409"/>
      <c r="G2411" s="410"/>
      <c r="H2411" s="249">
        <f>SUM(G2406:H2408)</f>
        <v>108.83</v>
      </c>
    </row>
    <row r="2412" spans="1:10">
      <c r="A2412" s="398"/>
      <c r="B2412" s="955" t="s">
        <v>537</v>
      </c>
      <c r="C2412" s="955"/>
      <c r="D2412" s="955"/>
      <c r="E2412" s="389"/>
      <c r="F2412" s="409"/>
      <c r="G2412" s="410"/>
      <c r="H2412" s="249">
        <f>SUM(G2409:H2410)</f>
        <v>6.02</v>
      </c>
    </row>
    <row r="2413" spans="1:10">
      <c r="A2413" s="398"/>
      <c r="B2413" s="955" t="s">
        <v>1937</v>
      </c>
      <c r="C2413" s="955"/>
      <c r="D2413" s="955"/>
      <c r="E2413" s="389"/>
      <c r="F2413" s="409"/>
      <c r="G2413" s="410"/>
      <c r="H2413" s="249">
        <f>SUM(H2411:H2412)</f>
        <v>114.85</v>
      </c>
    </row>
    <row r="2414" spans="1:10">
      <c r="A2414" s="398"/>
      <c r="B2414" s="955" t="s">
        <v>538</v>
      </c>
      <c r="C2414" s="955"/>
      <c r="D2414" s="955"/>
      <c r="E2414" s="389"/>
      <c r="F2414" s="411" t="s">
        <v>539</v>
      </c>
      <c r="G2414" s="410"/>
      <c r="H2414" s="249">
        <f>ROUND(H2413*F2414,2)</f>
        <v>28.67</v>
      </c>
    </row>
    <row r="2415" spans="1:10">
      <c r="A2415" s="398"/>
      <c r="B2415" s="956" t="s">
        <v>540</v>
      </c>
      <c r="C2415" s="956"/>
      <c r="D2415" s="956"/>
      <c r="E2415" s="740"/>
      <c r="F2415" s="768"/>
      <c r="G2415" s="769"/>
      <c r="H2415" s="770">
        <f>SUM(H2413:H2414)</f>
        <v>143.51999999999998</v>
      </c>
    </row>
    <row r="2416" spans="1:10" s="579" customFormat="1">
      <c r="A2416" s="601"/>
      <c r="B2416" s="780"/>
      <c r="C2416" s="780"/>
      <c r="D2416" s="780"/>
      <c r="E2416" s="740"/>
      <c r="F2416" s="768"/>
      <c r="G2416" s="769"/>
      <c r="H2416" s="770"/>
      <c r="I2416" s="400"/>
      <c r="J2416" s="404"/>
    </row>
    <row r="2417" spans="1:10" ht="27.6" customHeight="1">
      <c r="A2417" s="403" t="s">
        <v>2494</v>
      </c>
      <c r="B2417" s="961" t="s">
        <v>791</v>
      </c>
      <c r="C2417" s="961"/>
      <c r="D2417" s="961"/>
      <c r="E2417" s="961"/>
      <c r="F2417" s="961"/>
      <c r="G2417" s="402"/>
      <c r="H2417" s="403" t="s">
        <v>14</v>
      </c>
    </row>
    <row r="2418" spans="1:10" s="406" customFormat="1" ht="15">
      <c r="A2418" s="398"/>
      <c r="B2418" s="230" t="s">
        <v>716</v>
      </c>
      <c r="C2418" s="231" t="s">
        <v>14</v>
      </c>
      <c r="D2418" s="436">
        <v>4.3400000000000452E-2</v>
      </c>
      <c r="E2418" s="959">
        <f>Insumos!C636</f>
        <v>1.365</v>
      </c>
      <c r="F2418" s="959"/>
      <c r="G2418" s="958">
        <f>ROUND(D2418*E2418,2)</f>
        <v>0.06</v>
      </c>
      <c r="H2418" s="958"/>
      <c r="I2418" s="407"/>
      <c r="J2418" s="408"/>
    </row>
    <row r="2419" spans="1:10">
      <c r="A2419" s="398"/>
      <c r="B2419" s="230" t="s">
        <v>792</v>
      </c>
      <c r="C2419" s="231" t="s">
        <v>14</v>
      </c>
      <c r="D2419" s="436">
        <v>1</v>
      </c>
      <c r="E2419" s="959">
        <f>Insumos!C637</f>
        <v>3.3943000000000003</v>
      </c>
      <c r="F2419" s="959"/>
      <c r="G2419" s="958">
        <f>ROUND(D2419*E2419,2)</f>
        <v>3.39</v>
      </c>
      <c r="H2419" s="958"/>
    </row>
    <row r="2420" spans="1:10">
      <c r="A2420" s="398"/>
      <c r="B2420" s="230" t="s">
        <v>516</v>
      </c>
      <c r="C2420" s="231" t="s">
        <v>112</v>
      </c>
      <c r="D2420" s="436">
        <v>0.18</v>
      </c>
      <c r="E2420" s="959">
        <f>Insumos!C638</f>
        <v>7.0798000000000005</v>
      </c>
      <c r="F2420" s="959"/>
      <c r="G2420" s="958">
        <f>ROUND(D2420*E2420,2)</f>
        <v>1.27</v>
      </c>
      <c r="H2420" s="958"/>
    </row>
    <row r="2421" spans="1:10">
      <c r="A2421" s="398"/>
      <c r="B2421" s="230" t="s">
        <v>517</v>
      </c>
      <c r="C2421" s="231" t="s">
        <v>112</v>
      </c>
      <c r="D2421" s="436">
        <v>0.17730900000000008</v>
      </c>
      <c r="E2421" s="959">
        <f>Insumos!C639</f>
        <v>8.6722999999999999</v>
      </c>
      <c r="F2421" s="959"/>
      <c r="G2421" s="958">
        <f>ROUND(D2421*E2421,2)</f>
        <v>1.54</v>
      </c>
      <c r="H2421" s="958"/>
    </row>
    <row r="2422" spans="1:10">
      <c r="A2422" s="398"/>
      <c r="B2422" s="955" t="s">
        <v>536</v>
      </c>
      <c r="C2422" s="955"/>
      <c r="D2422" s="955"/>
      <c r="E2422" s="389"/>
      <c r="F2422" s="409"/>
      <c r="G2422" s="410"/>
      <c r="H2422" s="249">
        <f>SUM(G2418:H2419)</f>
        <v>3.45</v>
      </c>
    </row>
    <row r="2423" spans="1:10">
      <c r="A2423" s="398"/>
      <c r="B2423" s="955" t="s">
        <v>537</v>
      </c>
      <c r="C2423" s="955"/>
      <c r="D2423" s="955"/>
      <c r="E2423" s="389"/>
      <c r="F2423" s="409"/>
      <c r="G2423" s="410"/>
      <c r="H2423" s="249">
        <f>SUM(G2420:H2421)</f>
        <v>2.81</v>
      </c>
    </row>
    <row r="2424" spans="1:10">
      <c r="A2424" s="398"/>
      <c r="B2424" s="955" t="s">
        <v>1937</v>
      </c>
      <c r="C2424" s="955"/>
      <c r="D2424" s="955"/>
      <c r="E2424" s="389"/>
      <c r="F2424" s="409"/>
      <c r="G2424" s="410"/>
      <c r="H2424" s="249">
        <f>SUM(H2422:H2423)</f>
        <v>6.26</v>
      </c>
    </row>
    <row r="2425" spans="1:10">
      <c r="A2425" s="398"/>
      <c r="B2425" s="955" t="s">
        <v>538</v>
      </c>
      <c r="C2425" s="955"/>
      <c r="D2425" s="955"/>
      <c r="E2425" s="389"/>
      <c r="F2425" s="411" t="s">
        <v>539</v>
      </c>
      <c r="G2425" s="410"/>
      <c r="H2425" s="249">
        <f>ROUND(H2424*F2425,2)</f>
        <v>1.56</v>
      </c>
    </row>
    <row r="2426" spans="1:10">
      <c r="A2426" s="398"/>
      <c r="B2426" s="956" t="s">
        <v>540</v>
      </c>
      <c r="C2426" s="956"/>
      <c r="D2426" s="956"/>
      <c r="E2426" s="740"/>
      <c r="F2426" s="768"/>
      <c r="G2426" s="769"/>
      <c r="H2426" s="770">
        <f>SUM(H2424:H2425)</f>
        <v>7.82</v>
      </c>
    </row>
    <row r="2427" spans="1:10" s="579" customFormat="1">
      <c r="A2427" s="601"/>
      <c r="B2427" s="780"/>
      <c r="C2427" s="780"/>
      <c r="D2427" s="780"/>
      <c r="E2427" s="740"/>
      <c r="F2427" s="768"/>
      <c r="G2427" s="769"/>
      <c r="H2427" s="770"/>
      <c r="I2427" s="400"/>
      <c r="J2427" s="404"/>
    </row>
    <row r="2428" spans="1:10">
      <c r="A2428" s="403" t="s">
        <v>2495</v>
      </c>
      <c r="B2428" s="961" t="s">
        <v>793</v>
      </c>
      <c r="C2428" s="961"/>
      <c r="D2428" s="961"/>
      <c r="E2428" s="961"/>
      <c r="F2428" s="961"/>
      <c r="G2428" s="402"/>
      <c r="H2428" s="403" t="s">
        <v>14</v>
      </c>
    </row>
    <row r="2429" spans="1:10">
      <c r="A2429" s="398"/>
      <c r="B2429" s="230" t="s">
        <v>716</v>
      </c>
      <c r="C2429" s="231" t="s">
        <v>14</v>
      </c>
      <c r="D2429" s="436">
        <v>5.3039999999999435E-2</v>
      </c>
      <c r="E2429" s="959">
        <f>Insumos!C640</f>
        <v>1.365</v>
      </c>
      <c r="F2429" s="959"/>
      <c r="G2429" s="958">
        <f>ROUND(D2429*E2429,2)</f>
        <v>7.0000000000000007E-2</v>
      </c>
      <c r="H2429" s="958"/>
    </row>
    <row r="2430" spans="1:10" s="406" customFormat="1" ht="15">
      <c r="A2430" s="398"/>
      <c r="B2430" s="230" t="s">
        <v>794</v>
      </c>
      <c r="C2430" s="231" t="s">
        <v>14</v>
      </c>
      <c r="D2430" s="436">
        <v>1</v>
      </c>
      <c r="E2430" s="959">
        <f>Insumos!C641</f>
        <v>3.7856000000000001</v>
      </c>
      <c r="F2430" s="959"/>
      <c r="G2430" s="958">
        <f>ROUND(D2430*E2430,2)</f>
        <v>3.79</v>
      </c>
      <c r="H2430" s="958"/>
      <c r="I2430" s="407"/>
      <c r="J2430" s="408"/>
    </row>
    <row r="2431" spans="1:10">
      <c r="A2431" s="398"/>
      <c r="B2431" s="230" t="s">
        <v>516</v>
      </c>
      <c r="C2431" s="231" t="s">
        <v>112</v>
      </c>
      <c r="D2431" s="436">
        <v>0.1782</v>
      </c>
      <c r="E2431" s="959">
        <f>Insumos!C642</f>
        <v>7.0798000000000005</v>
      </c>
      <c r="F2431" s="959"/>
      <c r="G2431" s="958">
        <f>ROUND(D2431*E2431,2)</f>
        <v>1.26</v>
      </c>
      <c r="H2431" s="958"/>
    </row>
    <row r="2432" spans="1:10">
      <c r="A2432" s="398"/>
      <c r="B2432" s="230" t="s">
        <v>517</v>
      </c>
      <c r="C2432" s="231" t="s">
        <v>112</v>
      </c>
      <c r="D2432" s="436">
        <v>0.17730000000000018</v>
      </c>
      <c r="E2432" s="959">
        <f>Insumos!C643</f>
        <v>8.6722999999999999</v>
      </c>
      <c r="F2432" s="959"/>
      <c r="G2432" s="958">
        <f>ROUND(D2432*E2432,2)</f>
        <v>1.54</v>
      </c>
      <c r="H2432" s="958"/>
    </row>
    <row r="2433" spans="1:10">
      <c r="A2433" s="398"/>
      <c r="B2433" s="955" t="s">
        <v>536</v>
      </c>
      <c r="C2433" s="955"/>
      <c r="D2433" s="955"/>
      <c r="E2433" s="389"/>
      <c r="F2433" s="409"/>
      <c r="G2433" s="410"/>
      <c r="H2433" s="249">
        <f>SUM(G2429:H2430)</f>
        <v>3.86</v>
      </c>
    </row>
    <row r="2434" spans="1:10">
      <c r="A2434" s="398"/>
      <c r="B2434" s="955" t="s">
        <v>537</v>
      </c>
      <c r="C2434" s="955"/>
      <c r="D2434" s="955"/>
      <c r="E2434" s="389"/>
      <c r="F2434" s="409"/>
      <c r="G2434" s="410"/>
      <c r="H2434" s="249">
        <f>SUM(G2431:H2432)</f>
        <v>2.8</v>
      </c>
    </row>
    <row r="2435" spans="1:10">
      <c r="A2435" s="398"/>
      <c r="B2435" s="955" t="s">
        <v>1937</v>
      </c>
      <c r="C2435" s="955"/>
      <c r="D2435" s="955"/>
      <c r="E2435" s="389"/>
      <c r="F2435" s="409"/>
      <c r="G2435" s="410"/>
      <c r="H2435" s="249">
        <f>SUM(H2433:H2434)</f>
        <v>6.66</v>
      </c>
    </row>
    <row r="2436" spans="1:10">
      <c r="A2436" s="398"/>
      <c r="B2436" s="955" t="s">
        <v>538</v>
      </c>
      <c r="C2436" s="955"/>
      <c r="D2436" s="955"/>
      <c r="E2436" s="389"/>
      <c r="F2436" s="411" t="s">
        <v>539</v>
      </c>
      <c r="G2436" s="410"/>
      <c r="H2436" s="249">
        <f>ROUND(H2435*F2436,2)</f>
        <v>1.66</v>
      </c>
    </row>
    <row r="2437" spans="1:10">
      <c r="A2437" s="398"/>
      <c r="B2437" s="956" t="s">
        <v>540</v>
      </c>
      <c r="C2437" s="956"/>
      <c r="D2437" s="956"/>
      <c r="E2437" s="740"/>
      <c r="F2437" s="768"/>
      <c r="G2437" s="769"/>
      <c r="H2437" s="770">
        <f>SUM(H2435:H2436)</f>
        <v>8.32</v>
      </c>
    </row>
    <row r="2438" spans="1:10" s="579" customFormat="1">
      <c r="A2438" s="601"/>
      <c r="B2438" s="780"/>
      <c r="C2438" s="780"/>
      <c r="D2438" s="780"/>
      <c r="E2438" s="740"/>
      <c r="F2438" s="768"/>
      <c r="G2438" s="769"/>
      <c r="H2438" s="770"/>
      <c r="I2438" s="400"/>
      <c r="J2438" s="404"/>
    </row>
    <row r="2439" spans="1:10" ht="25.9" customHeight="1">
      <c r="A2439" s="403" t="s">
        <v>2496</v>
      </c>
      <c r="B2439" s="961" t="s">
        <v>795</v>
      </c>
      <c r="C2439" s="961"/>
      <c r="D2439" s="961"/>
      <c r="E2439" s="961"/>
      <c r="F2439" s="961"/>
      <c r="G2439" s="402"/>
      <c r="H2439" s="403" t="s">
        <v>15</v>
      </c>
    </row>
    <row r="2440" spans="1:10">
      <c r="A2440" s="398"/>
      <c r="B2440" s="230" t="s">
        <v>568</v>
      </c>
      <c r="C2440" s="231" t="s">
        <v>15</v>
      </c>
      <c r="D2440" s="436">
        <v>1</v>
      </c>
      <c r="E2440" s="964">
        <f>Insumos!C644</f>
        <v>1.8836999999999999</v>
      </c>
      <c r="F2440" s="964"/>
      <c r="G2440" s="958">
        <f>ROUND(D2440*E2440,2)</f>
        <v>1.88</v>
      </c>
      <c r="H2440" s="958"/>
    </row>
    <row r="2441" spans="1:10">
      <c r="A2441" s="398"/>
      <c r="B2441" s="230" t="s">
        <v>747</v>
      </c>
      <c r="C2441" s="231" t="s">
        <v>14</v>
      </c>
      <c r="D2441" s="436">
        <v>0.01</v>
      </c>
      <c r="E2441" s="964">
        <f>Insumos!C645</f>
        <v>30.676100000000002</v>
      </c>
      <c r="F2441" s="964"/>
      <c r="G2441" s="958">
        <f>ROUND(D2441*E2441,2)</f>
        <v>0.31</v>
      </c>
      <c r="H2441" s="958"/>
    </row>
    <row r="2442" spans="1:10" s="406" customFormat="1" ht="15">
      <c r="A2442" s="398"/>
      <c r="B2442" s="230" t="s">
        <v>746</v>
      </c>
      <c r="C2442" s="231" t="s">
        <v>492</v>
      </c>
      <c r="D2442" s="436">
        <v>0.01</v>
      </c>
      <c r="E2442" s="964">
        <f>Insumos!C646</f>
        <v>25.898600000000002</v>
      </c>
      <c r="F2442" s="964"/>
      <c r="G2442" s="958">
        <f>ROUND(D2442*E2442,2)</f>
        <v>0.26</v>
      </c>
      <c r="H2442" s="958"/>
      <c r="I2442" s="407"/>
      <c r="J2442" s="408"/>
    </row>
    <row r="2443" spans="1:10">
      <c r="A2443" s="398"/>
      <c r="B2443" s="230" t="s">
        <v>796</v>
      </c>
      <c r="C2443" s="231" t="s">
        <v>112</v>
      </c>
      <c r="D2443" s="436">
        <v>0.4</v>
      </c>
      <c r="E2443" s="964">
        <f>Insumos!C647</f>
        <v>7.0798000000000005</v>
      </c>
      <c r="F2443" s="964"/>
      <c r="G2443" s="958">
        <f>ROUND(D2443*E2443,2)</f>
        <v>2.83</v>
      </c>
      <c r="H2443" s="958"/>
    </row>
    <row r="2444" spans="1:10">
      <c r="A2444" s="398"/>
      <c r="B2444" s="230" t="s">
        <v>517</v>
      </c>
      <c r="C2444" s="231" t="s">
        <v>112</v>
      </c>
      <c r="D2444" s="436">
        <v>0.48302439024390276</v>
      </c>
      <c r="E2444" s="964">
        <f>Insumos!C648</f>
        <v>8.6722999999999999</v>
      </c>
      <c r="F2444" s="964"/>
      <c r="G2444" s="958">
        <f>ROUND(D2444*E2444,2)</f>
        <v>4.1900000000000004</v>
      </c>
      <c r="H2444" s="958"/>
    </row>
    <row r="2445" spans="1:10">
      <c r="A2445" s="398"/>
      <c r="B2445" s="955" t="s">
        <v>536</v>
      </c>
      <c r="C2445" s="955"/>
      <c r="D2445" s="955"/>
      <c r="E2445" s="389"/>
      <c r="F2445" s="409"/>
      <c r="G2445" s="410"/>
      <c r="H2445" s="249">
        <f>SUM(G2440:H2442)</f>
        <v>2.4500000000000002</v>
      </c>
    </row>
    <row r="2446" spans="1:10">
      <c r="A2446" s="398"/>
      <c r="B2446" s="955" t="s">
        <v>537</v>
      </c>
      <c r="C2446" s="955"/>
      <c r="D2446" s="955"/>
      <c r="E2446" s="389"/>
      <c r="F2446" s="409"/>
      <c r="G2446" s="410"/>
      <c r="H2446" s="249">
        <f>SUM(G2443:H2444)</f>
        <v>7.0200000000000005</v>
      </c>
    </row>
    <row r="2447" spans="1:10">
      <c r="A2447" s="398"/>
      <c r="B2447" s="955" t="s">
        <v>1937</v>
      </c>
      <c r="C2447" s="955"/>
      <c r="D2447" s="955"/>
      <c r="E2447" s="389"/>
      <c r="F2447" s="409"/>
      <c r="G2447" s="410"/>
      <c r="H2447" s="249">
        <f>SUM(H2445:H2446)</f>
        <v>9.4700000000000006</v>
      </c>
    </row>
    <row r="2448" spans="1:10">
      <c r="A2448" s="398"/>
      <c r="B2448" s="955" t="s">
        <v>538</v>
      </c>
      <c r="C2448" s="955"/>
      <c r="D2448" s="955"/>
      <c r="E2448" s="389"/>
      <c r="F2448" s="411" t="s">
        <v>539</v>
      </c>
      <c r="G2448" s="410"/>
      <c r="H2448" s="249">
        <f>ROUND(H2447*F2448,2)</f>
        <v>2.36</v>
      </c>
    </row>
    <row r="2449" spans="1:10">
      <c r="A2449" s="398"/>
      <c r="B2449" s="956" t="s">
        <v>540</v>
      </c>
      <c r="C2449" s="956"/>
      <c r="D2449" s="956"/>
      <c r="E2449" s="740"/>
      <c r="F2449" s="768"/>
      <c r="G2449" s="769"/>
      <c r="H2449" s="770">
        <f>SUM(H2447:H2448)</f>
        <v>11.83</v>
      </c>
    </row>
    <row r="2450" spans="1:10" s="579" customFormat="1">
      <c r="A2450" s="601"/>
      <c r="B2450" s="780"/>
      <c r="C2450" s="780"/>
      <c r="D2450" s="780"/>
      <c r="E2450" s="740"/>
      <c r="F2450" s="768"/>
      <c r="G2450" s="769"/>
      <c r="H2450" s="770"/>
      <c r="I2450" s="400"/>
      <c r="J2450" s="404"/>
    </row>
    <row r="2451" spans="1:10" ht="24.6" customHeight="1">
      <c r="A2451" s="403" t="s">
        <v>2497</v>
      </c>
      <c r="B2451" s="961" t="s">
        <v>797</v>
      </c>
      <c r="C2451" s="961"/>
      <c r="D2451" s="961"/>
      <c r="E2451" s="961"/>
      <c r="F2451" s="961"/>
      <c r="G2451" s="402"/>
      <c r="H2451" s="403" t="s">
        <v>15</v>
      </c>
    </row>
    <row r="2452" spans="1:10">
      <c r="A2452" s="398"/>
      <c r="B2452" s="230" t="s">
        <v>747</v>
      </c>
      <c r="C2452" s="231" t="s">
        <v>14</v>
      </c>
      <c r="D2452" s="401">
        <v>5.0000000000000001E-4</v>
      </c>
      <c r="E2452" s="964">
        <f>Insumos!C649</f>
        <v>30.676100000000002</v>
      </c>
      <c r="F2452" s="964"/>
      <c r="G2452" s="958">
        <f>ROUND(D2452*E2452,2)</f>
        <v>0.02</v>
      </c>
      <c r="H2452" s="958"/>
    </row>
    <row r="2453" spans="1:10">
      <c r="A2453" s="398"/>
      <c r="B2453" s="230" t="s">
        <v>746</v>
      </c>
      <c r="C2453" s="231" t="s">
        <v>492</v>
      </c>
      <c r="D2453" s="401">
        <v>1.5E-3</v>
      </c>
      <c r="E2453" s="964">
        <f>Insumos!C650</f>
        <v>25.898600000000002</v>
      </c>
      <c r="F2453" s="964"/>
      <c r="G2453" s="958">
        <f>ROUND(D2453*E2453,2)</f>
        <v>0.04</v>
      </c>
      <c r="H2453" s="958"/>
    </row>
    <row r="2454" spans="1:10" s="406" customFormat="1" ht="15">
      <c r="A2454" s="398"/>
      <c r="B2454" s="230" t="s">
        <v>798</v>
      </c>
      <c r="C2454" s="231" t="s">
        <v>15</v>
      </c>
      <c r="D2454" s="401">
        <v>1</v>
      </c>
      <c r="E2454" s="964">
        <f>Insumos!C651</f>
        <v>4.2861000000000002</v>
      </c>
      <c r="F2454" s="964"/>
      <c r="G2454" s="958">
        <f>ROUND(D2454*E2454,2)</f>
        <v>4.29</v>
      </c>
      <c r="H2454" s="958"/>
      <c r="I2454" s="407"/>
      <c r="J2454" s="408"/>
    </row>
    <row r="2455" spans="1:10">
      <c r="A2455" s="398"/>
      <c r="B2455" s="230" t="s">
        <v>796</v>
      </c>
      <c r="C2455" s="231" t="s">
        <v>112</v>
      </c>
      <c r="D2455" s="401">
        <v>0.5</v>
      </c>
      <c r="E2455" s="964">
        <f>Insumos!C652</f>
        <v>7.0798000000000005</v>
      </c>
      <c r="F2455" s="964"/>
      <c r="G2455" s="958">
        <f>ROUND(D2455*E2455,2)</f>
        <v>3.54</v>
      </c>
      <c r="H2455" s="958"/>
    </row>
    <row r="2456" spans="1:10">
      <c r="A2456" s="398"/>
      <c r="B2456" s="230" t="s">
        <v>517</v>
      </c>
      <c r="C2456" s="231" t="s">
        <v>112</v>
      </c>
      <c r="D2456" s="401">
        <v>0.5</v>
      </c>
      <c r="E2456" s="964">
        <f>Insumos!C653</f>
        <v>8.6722999999999999</v>
      </c>
      <c r="F2456" s="964"/>
      <c r="G2456" s="958">
        <f>ROUND(D2456*E2456,2)</f>
        <v>4.34</v>
      </c>
      <c r="H2456" s="958"/>
    </row>
    <row r="2457" spans="1:10">
      <c r="A2457" s="398"/>
      <c r="B2457" s="955" t="s">
        <v>536</v>
      </c>
      <c r="C2457" s="955"/>
      <c r="D2457" s="955"/>
      <c r="E2457" s="389"/>
      <c r="F2457" s="409"/>
      <c r="G2457" s="410"/>
      <c r="H2457" s="249">
        <f>SUM(G2452:H2454)</f>
        <v>4.3499999999999996</v>
      </c>
    </row>
    <row r="2458" spans="1:10">
      <c r="A2458" s="398"/>
      <c r="B2458" s="955" t="s">
        <v>537</v>
      </c>
      <c r="C2458" s="955"/>
      <c r="D2458" s="955"/>
      <c r="E2458" s="389"/>
      <c r="F2458" s="409"/>
      <c r="G2458" s="410"/>
      <c r="H2458" s="249">
        <f>SUM(G2455:H2456)</f>
        <v>7.88</v>
      </c>
    </row>
    <row r="2459" spans="1:10">
      <c r="A2459" s="398"/>
      <c r="B2459" s="955" t="s">
        <v>1937</v>
      </c>
      <c r="C2459" s="955"/>
      <c r="D2459" s="955"/>
      <c r="E2459" s="389"/>
      <c r="F2459" s="409"/>
      <c r="G2459" s="410"/>
      <c r="H2459" s="249">
        <f>SUM(H2457:H2458)</f>
        <v>12.23</v>
      </c>
    </row>
    <row r="2460" spans="1:10">
      <c r="A2460" s="398"/>
      <c r="B2460" s="955" t="s">
        <v>538</v>
      </c>
      <c r="C2460" s="955"/>
      <c r="D2460" s="955"/>
      <c r="E2460" s="389"/>
      <c r="F2460" s="411" t="s">
        <v>539</v>
      </c>
      <c r="G2460" s="410"/>
      <c r="H2460" s="249">
        <f>ROUND(H2459*F2460,2)</f>
        <v>3.05</v>
      </c>
    </row>
    <row r="2461" spans="1:10">
      <c r="A2461" s="398"/>
      <c r="B2461" s="956" t="s">
        <v>540</v>
      </c>
      <c r="C2461" s="956"/>
      <c r="D2461" s="956"/>
      <c r="E2461" s="740"/>
      <c r="F2461" s="768"/>
      <c r="G2461" s="769"/>
      <c r="H2461" s="770">
        <f>SUM(H2459:H2460)</f>
        <v>15.280000000000001</v>
      </c>
    </row>
    <row r="2462" spans="1:10" s="579" customFormat="1">
      <c r="A2462" s="601"/>
      <c r="B2462" s="780"/>
      <c r="C2462" s="780"/>
      <c r="D2462" s="780"/>
      <c r="E2462" s="740"/>
      <c r="F2462" s="768"/>
      <c r="G2462" s="769"/>
      <c r="H2462" s="770"/>
      <c r="I2462" s="400"/>
      <c r="J2462" s="404"/>
    </row>
    <row r="2463" spans="1:10" ht="25.15" customHeight="1">
      <c r="A2463" s="403" t="s">
        <v>2498</v>
      </c>
      <c r="B2463" s="961" t="s">
        <v>799</v>
      </c>
      <c r="C2463" s="961"/>
      <c r="D2463" s="961"/>
      <c r="E2463" s="961"/>
      <c r="F2463" s="961"/>
      <c r="G2463" s="402"/>
      <c r="H2463" s="403" t="s">
        <v>15</v>
      </c>
    </row>
    <row r="2464" spans="1:10">
      <c r="A2464" s="398"/>
      <c r="B2464" s="230" t="s">
        <v>747</v>
      </c>
      <c r="C2464" s="231" t="s">
        <v>14</v>
      </c>
      <c r="D2464" s="401">
        <v>5.9999999999999995E-4</v>
      </c>
      <c r="E2464" s="964">
        <f>Insumos!C654</f>
        <v>30.676100000000002</v>
      </c>
      <c r="F2464" s="964"/>
      <c r="G2464" s="958">
        <f>ROUND(D2464*E2464,2)</f>
        <v>0.02</v>
      </c>
      <c r="H2464" s="958"/>
    </row>
    <row r="2465" spans="1:10">
      <c r="A2465" s="398"/>
      <c r="B2465" s="230" t="s">
        <v>746</v>
      </c>
      <c r="C2465" s="231" t="s">
        <v>492</v>
      </c>
      <c r="D2465" s="401">
        <v>1E-3</v>
      </c>
      <c r="E2465" s="964">
        <f>Insumos!C655</f>
        <v>25.898600000000002</v>
      </c>
      <c r="F2465" s="964"/>
      <c r="G2465" s="958">
        <f>ROUND(D2465*E2465,2)</f>
        <v>0.03</v>
      </c>
      <c r="H2465" s="958"/>
    </row>
    <row r="2466" spans="1:10" s="406" customFormat="1" ht="15">
      <c r="A2466" s="398"/>
      <c r="B2466" s="230" t="s">
        <v>800</v>
      </c>
      <c r="C2466" s="231" t="s">
        <v>729</v>
      </c>
      <c r="D2466" s="401">
        <v>1.4983333333333337</v>
      </c>
      <c r="E2466" s="964">
        <f>Insumos!C656</f>
        <v>5.8331</v>
      </c>
      <c r="F2466" s="964"/>
      <c r="G2466" s="958">
        <f>ROUND(D2466*E2466,2)</f>
        <v>8.74</v>
      </c>
      <c r="H2466" s="958"/>
      <c r="I2466" s="407"/>
      <c r="J2466" s="408"/>
    </row>
    <row r="2467" spans="1:10">
      <c r="A2467" s="398"/>
      <c r="B2467" s="230" t="s">
        <v>796</v>
      </c>
      <c r="C2467" s="231" t="s">
        <v>112</v>
      </c>
      <c r="D2467" s="401">
        <v>0.5</v>
      </c>
      <c r="E2467" s="964">
        <f>Insumos!C657</f>
        <v>7.0798000000000005</v>
      </c>
      <c r="F2467" s="964"/>
      <c r="G2467" s="958">
        <f>ROUND(D2467*E2467,2)</f>
        <v>3.54</v>
      </c>
      <c r="H2467" s="958"/>
    </row>
    <row r="2468" spans="1:10">
      <c r="A2468" s="398"/>
      <c r="B2468" s="230" t="s">
        <v>517</v>
      </c>
      <c r="C2468" s="231" t="s">
        <v>112</v>
      </c>
      <c r="D2468" s="401">
        <v>0.5</v>
      </c>
      <c r="E2468" s="964">
        <f>Insumos!C658</f>
        <v>8.6722999999999999</v>
      </c>
      <c r="F2468" s="964"/>
      <c r="G2468" s="958">
        <f>ROUND(D2468*E2468,2)</f>
        <v>4.34</v>
      </c>
      <c r="H2468" s="958"/>
    </row>
    <row r="2469" spans="1:10">
      <c r="A2469" s="398"/>
      <c r="B2469" s="955" t="s">
        <v>536</v>
      </c>
      <c r="C2469" s="955"/>
      <c r="D2469" s="955"/>
      <c r="E2469" s="389"/>
      <c r="F2469" s="409"/>
      <c r="G2469" s="410"/>
      <c r="H2469" s="249">
        <f>SUM(G2464:H2466)</f>
        <v>8.7900000000000009</v>
      </c>
    </row>
    <row r="2470" spans="1:10">
      <c r="A2470" s="398"/>
      <c r="B2470" s="955" t="s">
        <v>537</v>
      </c>
      <c r="C2470" s="955"/>
      <c r="D2470" s="955"/>
      <c r="E2470" s="389"/>
      <c r="F2470" s="409"/>
      <c r="G2470" s="410"/>
      <c r="H2470" s="249">
        <f>SUM(G2467:H2468)</f>
        <v>7.88</v>
      </c>
    </row>
    <row r="2471" spans="1:10">
      <c r="A2471" s="398"/>
      <c r="B2471" s="955" t="s">
        <v>1937</v>
      </c>
      <c r="C2471" s="955"/>
      <c r="D2471" s="955"/>
      <c r="E2471" s="389"/>
      <c r="F2471" s="409"/>
      <c r="G2471" s="410"/>
      <c r="H2471" s="249">
        <f>SUM(H2469:H2470)</f>
        <v>16.670000000000002</v>
      </c>
    </row>
    <row r="2472" spans="1:10">
      <c r="A2472" s="398"/>
      <c r="B2472" s="955" t="s">
        <v>538</v>
      </c>
      <c r="C2472" s="955"/>
      <c r="D2472" s="955"/>
      <c r="E2472" s="389"/>
      <c r="F2472" s="411" t="s">
        <v>539</v>
      </c>
      <c r="G2472" s="410"/>
      <c r="H2472" s="249">
        <f>ROUND(H2471*F2472,2)</f>
        <v>4.16</v>
      </c>
    </row>
    <row r="2473" spans="1:10">
      <c r="A2473" s="398"/>
      <c r="B2473" s="956" t="s">
        <v>540</v>
      </c>
      <c r="C2473" s="956"/>
      <c r="D2473" s="956"/>
      <c r="E2473" s="740"/>
      <c r="F2473" s="768"/>
      <c r="G2473" s="769"/>
      <c r="H2473" s="770">
        <f>SUM(H2471:H2472)</f>
        <v>20.830000000000002</v>
      </c>
    </row>
    <row r="2474" spans="1:10" s="579" customFormat="1">
      <c r="A2474" s="601"/>
      <c r="B2474" s="780"/>
      <c r="C2474" s="780"/>
      <c r="D2474" s="780"/>
      <c r="E2474" s="740"/>
      <c r="F2474" s="768"/>
      <c r="G2474" s="769"/>
      <c r="H2474" s="770"/>
      <c r="I2474" s="400"/>
      <c r="J2474" s="404"/>
    </row>
    <row r="2475" spans="1:10" ht="25.9" customHeight="1">
      <c r="A2475" s="403" t="s">
        <v>2499</v>
      </c>
      <c r="B2475" s="961" t="s">
        <v>801</v>
      </c>
      <c r="C2475" s="961"/>
      <c r="D2475" s="961"/>
      <c r="E2475" s="961"/>
      <c r="F2475" s="961"/>
      <c r="G2475" s="402"/>
      <c r="H2475" s="403" t="s">
        <v>15</v>
      </c>
    </row>
    <row r="2476" spans="1:10">
      <c r="A2476" s="398"/>
      <c r="B2476" s="230" t="s">
        <v>747</v>
      </c>
      <c r="C2476" s="231" t="s">
        <v>14</v>
      </c>
      <c r="D2476" s="401">
        <v>6.9999999999999999E-4</v>
      </c>
      <c r="E2476" s="964">
        <f>Insumos!C659</f>
        <v>30.676100000000002</v>
      </c>
      <c r="F2476" s="964"/>
      <c r="G2476" s="958">
        <f>ROUND(D2476*E2476,2)</f>
        <v>0.02</v>
      </c>
      <c r="H2476" s="958"/>
    </row>
    <row r="2477" spans="1:10">
      <c r="A2477" s="398"/>
      <c r="B2477" s="230" t="s">
        <v>802</v>
      </c>
      <c r="C2477" s="231" t="s">
        <v>15</v>
      </c>
      <c r="D2477" s="401">
        <v>1.4</v>
      </c>
      <c r="E2477" s="964">
        <f>Insumos!C660</f>
        <v>6.8523000000000005</v>
      </c>
      <c r="F2477" s="964"/>
      <c r="G2477" s="958">
        <f>ROUND(D2477*E2477,2)</f>
        <v>9.59</v>
      </c>
      <c r="H2477" s="958"/>
    </row>
    <row r="2478" spans="1:10" s="406" customFormat="1" ht="15">
      <c r="A2478" s="398"/>
      <c r="B2478" s="230" t="s">
        <v>746</v>
      </c>
      <c r="C2478" s="231" t="s">
        <v>492</v>
      </c>
      <c r="D2478" s="401">
        <v>1.4E-3</v>
      </c>
      <c r="E2478" s="964">
        <f>Insumos!C661</f>
        <v>25.898600000000002</v>
      </c>
      <c r="F2478" s="964"/>
      <c r="G2478" s="958">
        <f>ROUND(D2478*E2478,2)</f>
        <v>0.04</v>
      </c>
      <c r="H2478" s="958"/>
      <c r="I2478" s="407"/>
      <c r="J2478" s="408"/>
    </row>
    <row r="2479" spans="1:10">
      <c r="A2479" s="398"/>
      <c r="B2479" s="230" t="s">
        <v>796</v>
      </c>
      <c r="C2479" s="231" t="s">
        <v>112</v>
      </c>
      <c r="D2479" s="401">
        <v>0.6</v>
      </c>
      <c r="E2479" s="964">
        <f>Insumos!C662</f>
        <v>7.0798000000000005</v>
      </c>
      <c r="F2479" s="964"/>
      <c r="G2479" s="958">
        <f>ROUND(D2479*E2479,2)</f>
        <v>4.25</v>
      </c>
      <c r="H2479" s="958"/>
    </row>
    <row r="2480" spans="1:10">
      <c r="A2480" s="398"/>
      <c r="B2480" s="230" t="s">
        <v>517</v>
      </c>
      <c r="C2480" s="231" t="s">
        <v>112</v>
      </c>
      <c r="D2480" s="401">
        <v>0.6</v>
      </c>
      <c r="E2480" s="964">
        <f>Insumos!C663</f>
        <v>8.6722999999999999</v>
      </c>
      <c r="F2480" s="964"/>
      <c r="G2480" s="958">
        <f>ROUND(D2480*E2480,2)</f>
        <v>5.2</v>
      </c>
      <c r="H2480" s="958"/>
    </row>
    <row r="2481" spans="1:10">
      <c r="A2481" s="398"/>
      <c r="B2481" s="955" t="s">
        <v>536</v>
      </c>
      <c r="C2481" s="955"/>
      <c r="D2481" s="955"/>
      <c r="E2481" s="389"/>
      <c r="F2481" s="409"/>
      <c r="G2481" s="410"/>
      <c r="H2481" s="249">
        <f>SUM(G2476:H2478)</f>
        <v>9.6499999999999986</v>
      </c>
    </row>
    <row r="2482" spans="1:10">
      <c r="A2482" s="398"/>
      <c r="B2482" s="955" t="s">
        <v>537</v>
      </c>
      <c r="C2482" s="955"/>
      <c r="D2482" s="955"/>
      <c r="E2482" s="389"/>
      <c r="F2482" s="409"/>
      <c r="G2482" s="410"/>
      <c r="H2482" s="249">
        <f>SUM(G2479:H2480)</f>
        <v>9.4499999999999993</v>
      </c>
    </row>
    <row r="2483" spans="1:10">
      <c r="A2483" s="398"/>
      <c r="B2483" s="955" t="s">
        <v>1937</v>
      </c>
      <c r="C2483" s="955"/>
      <c r="D2483" s="955"/>
      <c r="E2483" s="389"/>
      <c r="F2483" s="409"/>
      <c r="G2483" s="410"/>
      <c r="H2483" s="249">
        <f>SUM(H2481:H2482)</f>
        <v>19.099999999999998</v>
      </c>
    </row>
    <row r="2484" spans="1:10">
      <c r="A2484" s="398"/>
      <c r="B2484" s="955" t="s">
        <v>538</v>
      </c>
      <c r="C2484" s="955"/>
      <c r="D2484" s="955"/>
      <c r="E2484" s="389"/>
      <c r="F2484" s="411" t="s">
        <v>539</v>
      </c>
      <c r="G2484" s="410"/>
      <c r="H2484" s="249">
        <f>ROUND(H2483*F2484,2)</f>
        <v>4.7699999999999996</v>
      </c>
    </row>
    <row r="2485" spans="1:10">
      <c r="A2485" s="398"/>
      <c r="B2485" s="956" t="s">
        <v>540</v>
      </c>
      <c r="C2485" s="956"/>
      <c r="D2485" s="956"/>
      <c r="E2485" s="740"/>
      <c r="F2485" s="768"/>
      <c r="G2485" s="769"/>
      <c r="H2485" s="770">
        <f>SUM(H2483:H2484)</f>
        <v>23.869999999999997</v>
      </c>
    </row>
    <row r="2486" spans="1:10" s="579" customFormat="1">
      <c r="A2486" s="601"/>
      <c r="B2486" s="780"/>
      <c r="C2486" s="780"/>
      <c r="D2486" s="780"/>
      <c r="E2486" s="740"/>
      <c r="F2486" s="768"/>
      <c r="G2486" s="769"/>
      <c r="H2486" s="770"/>
      <c r="I2486" s="400"/>
      <c r="J2486" s="404"/>
    </row>
    <row r="2487" spans="1:10" ht="25.9" customHeight="1">
      <c r="A2487" s="403" t="s">
        <v>2500</v>
      </c>
      <c r="B2487" s="961" t="s">
        <v>803</v>
      </c>
      <c r="C2487" s="961"/>
      <c r="D2487" s="961"/>
      <c r="E2487" s="961"/>
      <c r="F2487" s="961"/>
      <c r="G2487" s="402"/>
      <c r="H2487" s="403" t="s">
        <v>15</v>
      </c>
    </row>
    <row r="2488" spans="1:10">
      <c r="A2488" s="398"/>
      <c r="B2488" s="230" t="s">
        <v>747</v>
      </c>
      <c r="C2488" s="231" t="s">
        <v>14</v>
      </c>
      <c r="D2488" s="401">
        <v>8.0000000000000004E-4</v>
      </c>
      <c r="E2488" s="964">
        <f>Insumos!C664</f>
        <v>30.676100000000002</v>
      </c>
      <c r="F2488" s="964"/>
      <c r="G2488" s="958">
        <f>ROUND(D2488*E2488,2)</f>
        <v>0.02</v>
      </c>
      <c r="H2488" s="958"/>
    </row>
    <row r="2489" spans="1:10">
      <c r="A2489" s="398"/>
      <c r="B2489" s="230" t="s">
        <v>746</v>
      </c>
      <c r="C2489" s="231" t="s">
        <v>492</v>
      </c>
      <c r="D2489" s="401">
        <v>2.5000000000000001E-3</v>
      </c>
      <c r="E2489" s="964">
        <f>Insumos!C665</f>
        <v>25.898600000000002</v>
      </c>
      <c r="F2489" s="964"/>
      <c r="G2489" s="958">
        <f>ROUND(D2489*E2489,2)</f>
        <v>0.06</v>
      </c>
      <c r="H2489" s="958"/>
    </row>
    <row r="2490" spans="1:10" s="406" customFormat="1" ht="15">
      <c r="A2490" s="398"/>
      <c r="B2490" s="230" t="s">
        <v>804</v>
      </c>
      <c r="C2490" s="231" t="s">
        <v>15</v>
      </c>
      <c r="D2490" s="401">
        <v>1.3985263157894738</v>
      </c>
      <c r="E2490" s="964">
        <f>Insumos!C666</f>
        <v>12.7309</v>
      </c>
      <c r="F2490" s="964"/>
      <c r="G2490" s="958">
        <f>ROUND(D2490*E2490,2)</f>
        <v>17.8</v>
      </c>
      <c r="H2490" s="958"/>
      <c r="I2490" s="407"/>
      <c r="J2490" s="408"/>
    </row>
    <row r="2491" spans="1:10">
      <c r="A2491" s="398"/>
      <c r="B2491" s="230" t="s">
        <v>796</v>
      </c>
      <c r="C2491" s="231" t="s">
        <v>112</v>
      </c>
      <c r="D2491" s="401">
        <v>0.7</v>
      </c>
      <c r="E2491" s="964">
        <f>Insumos!C667</f>
        <v>7.0798000000000005</v>
      </c>
      <c r="F2491" s="964"/>
      <c r="G2491" s="958">
        <f>ROUND(D2491*E2491,2)</f>
        <v>4.96</v>
      </c>
      <c r="H2491" s="958"/>
    </row>
    <row r="2492" spans="1:10">
      <c r="A2492" s="398"/>
      <c r="B2492" s="230" t="s">
        <v>517</v>
      </c>
      <c r="C2492" s="231" t="s">
        <v>112</v>
      </c>
      <c r="D2492" s="401">
        <v>0.7</v>
      </c>
      <c r="E2492" s="964">
        <f>Insumos!C668</f>
        <v>8.6722999999999999</v>
      </c>
      <c r="F2492" s="964"/>
      <c r="G2492" s="958">
        <f>ROUND(D2492*E2492,2)</f>
        <v>6.07</v>
      </c>
      <c r="H2492" s="958"/>
    </row>
    <row r="2493" spans="1:10">
      <c r="A2493" s="398"/>
      <c r="B2493" s="955" t="s">
        <v>536</v>
      </c>
      <c r="C2493" s="955"/>
      <c r="D2493" s="955"/>
      <c r="E2493" s="389"/>
      <c r="F2493" s="409"/>
      <c r="G2493" s="410"/>
      <c r="H2493" s="249">
        <f>SUM(G2488:H2490)</f>
        <v>17.88</v>
      </c>
    </row>
    <row r="2494" spans="1:10">
      <c r="A2494" s="398"/>
      <c r="B2494" s="955" t="s">
        <v>537</v>
      </c>
      <c r="C2494" s="955"/>
      <c r="D2494" s="955"/>
      <c r="E2494" s="389"/>
      <c r="F2494" s="409"/>
      <c r="G2494" s="410"/>
      <c r="H2494" s="249">
        <f>SUM(G2491:H2492)</f>
        <v>11.030000000000001</v>
      </c>
    </row>
    <row r="2495" spans="1:10">
      <c r="A2495" s="398"/>
      <c r="B2495" s="955" t="s">
        <v>1937</v>
      </c>
      <c r="C2495" s="955"/>
      <c r="D2495" s="955"/>
      <c r="E2495" s="389"/>
      <c r="F2495" s="409"/>
      <c r="G2495" s="410"/>
      <c r="H2495" s="249">
        <f>SUM(H2493:H2494)</f>
        <v>28.91</v>
      </c>
    </row>
    <row r="2496" spans="1:10">
      <c r="A2496" s="398"/>
      <c r="B2496" s="955" t="s">
        <v>538</v>
      </c>
      <c r="C2496" s="955"/>
      <c r="D2496" s="955"/>
      <c r="E2496" s="389"/>
      <c r="F2496" s="411" t="s">
        <v>539</v>
      </c>
      <c r="G2496" s="410"/>
      <c r="H2496" s="249">
        <f>ROUND(H2495*F2496,2)</f>
        <v>7.22</v>
      </c>
    </row>
    <row r="2497" spans="1:10">
      <c r="A2497" s="398"/>
      <c r="B2497" s="956" t="s">
        <v>540</v>
      </c>
      <c r="C2497" s="956"/>
      <c r="D2497" s="956"/>
      <c r="E2497" s="740"/>
      <c r="F2497" s="768"/>
      <c r="G2497" s="769"/>
      <c r="H2497" s="770">
        <f>SUM(H2495:H2496)</f>
        <v>36.130000000000003</v>
      </c>
    </row>
    <row r="2498" spans="1:10" s="579" customFormat="1">
      <c r="A2498" s="601"/>
      <c r="B2498" s="780"/>
      <c r="C2498" s="780"/>
      <c r="D2498" s="780"/>
      <c r="E2498" s="740"/>
      <c r="F2498" s="768"/>
      <c r="G2498" s="769"/>
      <c r="H2498" s="770"/>
      <c r="I2498" s="400"/>
      <c r="J2498" s="404"/>
    </row>
    <row r="2499" spans="1:10" ht="23.45" customHeight="1">
      <c r="A2499" s="403" t="s">
        <v>2501</v>
      </c>
      <c r="B2499" s="961" t="s">
        <v>805</v>
      </c>
      <c r="C2499" s="961"/>
      <c r="D2499" s="961"/>
      <c r="E2499" s="961"/>
      <c r="F2499" s="961"/>
      <c r="G2499" s="402"/>
      <c r="H2499" s="403" t="s">
        <v>15</v>
      </c>
    </row>
    <row r="2500" spans="1:10">
      <c r="A2500" s="398"/>
      <c r="B2500" s="230" t="s">
        <v>747</v>
      </c>
      <c r="C2500" s="231" t="s">
        <v>14</v>
      </c>
      <c r="D2500" s="401">
        <v>8.0000000000000004E-4</v>
      </c>
      <c r="E2500" s="964">
        <f>Insumos!C669</f>
        <v>30.676100000000002</v>
      </c>
      <c r="F2500" s="964"/>
      <c r="G2500" s="958">
        <f>ROUND(D2500*E2500,2)</f>
        <v>0.02</v>
      </c>
      <c r="H2500" s="958"/>
    </row>
    <row r="2501" spans="1:10">
      <c r="A2501" s="398"/>
      <c r="B2501" s="230" t="s">
        <v>746</v>
      </c>
      <c r="C2501" s="231" t="s">
        <v>492</v>
      </c>
      <c r="D2501" s="401">
        <v>2.2000000000000001E-3</v>
      </c>
      <c r="E2501" s="964">
        <f>Insumos!C670</f>
        <v>25.898600000000002</v>
      </c>
      <c r="F2501" s="964"/>
      <c r="G2501" s="958">
        <f>ROUND(D2501*E2501,2)</f>
        <v>0.06</v>
      </c>
      <c r="H2501" s="958"/>
    </row>
    <row r="2502" spans="1:10" s="406" customFormat="1" ht="15">
      <c r="A2502" s="398"/>
      <c r="B2502" s="230" t="s">
        <v>806</v>
      </c>
      <c r="C2502" s="231" t="s">
        <v>15</v>
      </c>
      <c r="D2502" s="401">
        <v>1.4</v>
      </c>
      <c r="E2502" s="964">
        <f>Insumos!C671</f>
        <v>19.510400000000001</v>
      </c>
      <c r="F2502" s="964"/>
      <c r="G2502" s="958">
        <f>ROUND(D2502*E2502,2)</f>
        <v>27.31</v>
      </c>
      <c r="H2502" s="958"/>
      <c r="I2502" s="407"/>
      <c r="J2502" s="408"/>
    </row>
    <row r="2503" spans="1:10">
      <c r="A2503" s="398"/>
      <c r="B2503" s="230" t="s">
        <v>807</v>
      </c>
      <c r="C2503" s="231" t="s">
        <v>112</v>
      </c>
      <c r="D2503" s="401">
        <v>0.8</v>
      </c>
      <c r="E2503" s="964">
        <f>Insumos!C672</f>
        <v>9.4002999999999997</v>
      </c>
      <c r="F2503" s="964"/>
      <c r="G2503" s="958">
        <f>ROUND(D2503*E2503,2)</f>
        <v>7.52</v>
      </c>
      <c r="H2503" s="958"/>
    </row>
    <row r="2504" spans="1:10">
      <c r="A2504" s="398"/>
      <c r="B2504" s="230" t="s">
        <v>517</v>
      </c>
      <c r="C2504" s="231" t="s">
        <v>112</v>
      </c>
      <c r="D2504" s="401">
        <v>0.8</v>
      </c>
      <c r="E2504" s="964">
        <f>Insumos!C673</f>
        <v>8.6722999999999999</v>
      </c>
      <c r="F2504" s="964"/>
      <c r="G2504" s="958">
        <f>ROUND(D2504*E2504,2)</f>
        <v>6.94</v>
      </c>
      <c r="H2504" s="958"/>
    </row>
    <row r="2505" spans="1:10">
      <c r="A2505" s="398"/>
      <c r="B2505" s="955" t="s">
        <v>536</v>
      </c>
      <c r="C2505" s="955"/>
      <c r="D2505" s="955"/>
      <c r="E2505" s="389"/>
      <c r="F2505" s="409"/>
      <c r="G2505" s="410"/>
      <c r="H2505" s="249">
        <f>SUM(G2500:H2502)</f>
        <v>27.389999999999997</v>
      </c>
    </row>
    <row r="2506" spans="1:10">
      <c r="A2506" s="398"/>
      <c r="B2506" s="955" t="s">
        <v>537</v>
      </c>
      <c r="C2506" s="955"/>
      <c r="D2506" s="955"/>
      <c r="E2506" s="389"/>
      <c r="F2506" s="409"/>
      <c r="G2506" s="410"/>
      <c r="H2506" s="249">
        <f>SUM(G2503:H2504)</f>
        <v>14.46</v>
      </c>
    </row>
    <row r="2507" spans="1:10">
      <c r="A2507" s="398"/>
      <c r="B2507" s="955" t="s">
        <v>1937</v>
      </c>
      <c r="C2507" s="955"/>
      <c r="D2507" s="955"/>
      <c r="E2507" s="389"/>
      <c r="F2507" s="409"/>
      <c r="G2507" s="410"/>
      <c r="H2507" s="249">
        <f>SUM(H2505:H2506)</f>
        <v>41.849999999999994</v>
      </c>
    </row>
    <row r="2508" spans="1:10">
      <c r="A2508" s="398"/>
      <c r="B2508" s="955" t="s">
        <v>538</v>
      </c>
      <c r="C2508" s="955"/>
      <c r="D2508" s="955"/>
      <c r="E2508" s="389"/>
      <c r="F2508" s="411" t="s">
        <v>539</v>
      </c>
      <c r="G2508" s="410"/>
      <c r="H2508" s="249">
        <f>ROUND(H2507*F2508,2)</f>
        <v>10.45</v>
      </c>
    </row>
    <row r="2509" spans="1:10">
      <c r="A2509" s="398"/>
      <c r="B2509" s="956" t="s">
        <v>540</v>
      </c>
      <c r="C2509" s="956"/>
      <c r="D2509" s="956"/>
      <c r="E2509" s="740"/>
      <c r="F2509" s="768"/>
      <c r="G2509" s="769"/>
      <c r="H2509" s="770">
        <f>SUM(H2507:H2508)</f>
        <v>52.3</v>
      </c>
    </row>
    <row r="2510" spans="1:10" s="579" customFormat="1">
      <c r="A2510" s="601"/>
      <c r="B2510" s="780"/>
      <c r="C2510" s="780"/>
      <c r="D2510" s="780"/>
      <c r="E2510" s="740"/>
      <c r="F2510" s="768"/>
      <c r="G2510" s="769"/>
      <c r="H2510" s="770"/>
      <c r="I2510" s="400"/>
      <c r="J2510" s="404"/>
    </row>
    <row r="2511" spans="1:10" ht="32.1" customHeight="1">
      <c r="A2511" s="403" t="s">
        <v>2502</v>
      </c>
      <c r="B2511" s="961" t="s">
        <v>808</v>
      </c>
      <c r="C2511" s="961"/>
      <c r="D2511" s="961"/>
      <c r="E2511" s="961"/>
      <c r="F2511" s="961"/>
      <c r="G2511" s="402"/>
      <c r="H2511" s="403" t="s">
        <v>15</v>
      </c>
    </row>
    <row r="2512" spans="1:10">
      <c r="A2512" s="398"/>
      <c r="B2512" s="230" t="s">
        <v>747</v>
      </c>
      <c r="C2512" s="231" t="s">
        <v>14</v>
      </c>
      <c r="D2512" s="401">
        <v>3.0000000000000001E-3</v>
      </c>
      <c r="E2512" s="964">
        <f>Insumos!C674</f>
        <v>30.676100000000002</v>
      </c>
      <c r="F2512" s="964"/>
      <c r="G2512" s="958">
        <f>ROUND(D2512*E2512,2)</f>
        <v>0.09</v>
      </c>
      <c r="H2512" s="958"/>
    </row>
    <row r="2513" spans="1:11">
      <c r="A2513" s="398"/>
      <c r="B2513" s="230" t="s">
        <v>746</v>
      </c>
      <c r="C2513" s="231" t="s">
        <v>492</v>
      </c>
      <c r="D2513" s="401">
        <v>0.05</v>
      </c>
      <c r="E2513" s="964">
        <f>Insumos!C675</f>
        <v>25.898600000000002</v>
      </c>
      <c r="F2513" s="964"/>
      <c r="G2513" s="958">
        <f>ROUND(D2513*E2513,2)</f>
        <v>1.29</v>
      </c>
      <c r="H2513" s="958"/>
    </row>
    <row r="2514" spans="1:11" s="406" customFormat="1" ht="15">
      <c r="A2514" s="398"/>
      <c r="B2514" s="230" t="s">
        <v>809</v>
      </c>
      <c r="C2514" s="231" t="s">
        <v>14</v>
      </c>
      <c r="D2514" s="401">
        <v>1</v>
      </c>
      <c r="E2514" s="964">
        <f>Insumos!C676</f>
        <v>26.271700000000003</v>
      </c>
      <c r="F2514" s="964"/>
      <c r="G2514" s="958">
        <f>ROUND(D2514*E2514,2)</f>
        <v>26.27</v>
      </c>
      <c r="H2514" s="958"/>
      <c r="I2514" s="407"/>
      <c r="J2514" s="408"/>
    </row>
    <row r="2515" spans="1:11">
      <c r="A2515" s="398"/>
      <c r="B2515" s="230" t="s">
        <v>796</v>
      </c>
      <c r="C2515" s="231" t="s">
        <v>112</v>
      </c>
      <c r="D2515" s="401">
        <v>1.5</v>
      </c>
      <c r="E2515" s="964">
        <f>Insumos!C677</f>
        <v>7.0798000000000005</v>
      </c>
      <c r="F2515" s="964"/>
      <c r="G2515" s="958">
        <f>ROUND(D2515*E2515,2)</f>
        <v>10.62</v>
      </c>
      <c r="H2515" s="958"/>
    </row>
    <row r="2516" spans="1:11">
      <c r="A2516" s="398"/>
      <c r="B2516" s="230" t="s">
        <v>517</v>
      </c>
      <c r="C2516" s="231" t="s">
        <v>112</v>
      </c>
      <c r="D2516" s="401">
        <v>1.4563500000000007</v>
      </c>
      <c r="E2516" s="964">
        <f>Insumos!C678</f>
        <v>8.6722999999999999</v>
      </c>
      <c r="F2516" s="964"/>
      <c r="G2516" s="958">
        <f>ROUND(D2516*E2516,2)</f>
        <v>12.63</v>
      </c>
      <c r="H2516" s="958"/>
    </row>
    <row r="2517" spans="1:11">
      <c r="A2517" s="398"/>
      <c r="B2517" s="955" t="s">
        <v>536</v>
      </c>
      <c r="C2517" s="955"/>
      <c r="D2517" s="955"/>
      <c r="E2517" s="389"/>
      <c r="F2517" s="409"/>
      <c r="G2517" s="410"/>
      <c r="H2517" s="249">
        <f>SUM(G2512:H2514)</f>
        <v>27.65</v>
      </c>
    </row>
    <row r="2518" spans="1:11">
      <c r="A2518" s="398"/>
      <c r="B2518" s="955" t="s">
        <v>537</v>
      </c>
      <c r="C2518" s="955"/>
      <c r="D2518" s="955"/>
      <c r="E2518" s="389"/>
      <c r="F2518" s="409"/>
      <c r="G2518" s="410"/>
      <c r="H2518" s="249">
        <f>SUM(G2515:H2516)</f>
        <v>23.25</v>
      </c>
    </row>
    <row r="2519" spans="1:11">
      <c r="A2519" s="398"/>
      <c r="B2519" s="955" t="s">
        <v>1937</v>
      </c>
      <c r="C2519" s="955"/>
      <c r="D2519" s="955"/>
      <c r="E2519" s="389"/>
      <c r="F2519" s="409"/>
      <c r="G2519" s="410"/>
      <c r="H2519" s="249">
        <f>SUM(H2517:H2518)</f>
        <v>50.9</v>
      </c>
    </row>
    <row r="2520" spans="1:11">
      <c r="A2520" s="398"/>
      <c r="B2520" s="955" t="s">
        <v>538</v>
      </c>
      <c r="C2520" s="955"/>
      <c r="D2520" s="955"/>
      <c r="E2520" s="389"/>
      <c r="F2520" s="411" t="s">
        <v>539</v>
      </c>
      <c r="G2520" s="410"/>
      <c r="H2520" s="249">
        <f>ROUND(H2519*F2520,2)</f>
        <v>12.7</v>
      </c>
    </row>
    <row r="2521" spans="1:11">
      <c r="A2521" s="398"/>
      <c r="B2521" s="956" t="s">
        <v>540</v>
      </c>
      <c r="C2521" s="956"/>
      <c r="D2521" s="956"/>
      <c r="E2521" s="740"/>
      <c r="F2521" s="768"/>
      <c r="G2521" s="769"/>
      <c r="H2521" s="770">
        <f>SUM(H2519:H2520)</f>
        <v>63.599999999999994</v>
      </c>
    </row>
    <row r="2522" spans="1:11" s="579" customFormat="1">
      <c r="A2522" s="601"/>
      <c r="B2522" s="780"/>
      <c r="C2522" s="780"/>
      <c r="D2522" s="780"/>
      <c r="E2522" s="740"/>
      <c r="F2522" s="768"/>
      <c r="G2522" s="769"/>
      <c r="H2522" s="770"/>
      <c r="I2522" s="400"/>
      <c r="J2522" s="404"/>
    </row>
    <row r="2523" spans="1:11" ht="32.1" customHeight="1">
      <c r="A2523" s="403" t="s">
        <v>2503</v>
      </c>
      <c r="B2523" s="961" t="s">
        <v>810</v>
      </c>
      <c r="C2523" s="961"/>
      <c r="D2523" s="961"/>
      <c r="E2523" s="961"/>
      <c r="F2523" s="961"/>
      <c r="G2523" s="402"/>
      <c r="H2523" s="403" t="s">
        <v>15</v>
      </c>
    </row>
    <row r="2524" spans="1:11">
      <c r="A2524" s="398"/>
      <c r="B2524" s="230" t="s">
        <v>747</v>
      </c>
      <c r="C2524" s="231" t="s">
        <v>14</v>
      </c>
      <c r="D2524" s="401">
        <v>5.0000000000000001E-3</v>
      </c>
      <c r="E2524" s="964">
        <f>Insumos!C679</f>
        <v>30.676100000000002</v>
      </c>
      <c r="F2524" s="964"/>
      <c r="G2524" s="958">
        <f>ROUND(D2524*E2524,2)</f>
        <v>0.15</v>
      </c>
      <c r="H2524" s="958"/>
    </row>
    <row r="2525" spans="1:11">
      <c r="A2525" s="398"/>
      <c r="B2525" s="230" t="s">
        <v>746</v>
      </c>
      <c r="C2525" s="231" t="s">
        <v>492</v>
      </c>
      <c r="D2525" s="401">
        <v>0.02</v>
      </c>
      <c r="E2525" s="964">
        <f>Insumos!C680</f>
        <v>25.898600000000002</v>
      </c>
      <c r="F2525" s="964"/>
      <c r="G2525" s="958">
        <f>ROUND(D2525*E2525,2)</f>
        <v>0.52</v>
      </c>
      <c r="H2525" s="958"/>
    </row>
    <row r="2526" spans="1:11" s="406" customFormat="1" ht="15">
      <c r="A2526" s="398"/>
      <c r="B2526" s="230" t="s">
        <v>811</v>
      </c>
      <c r="C2526" s="231" t="s">
        <v>14</v>
      </c>
      <c r="D2526" s="401">
        <v>1</v>
      </c>
      <c r="E2526" s="964">
        <f>Insumos!C681</f>
        <v>40.049100000000003</v>
      </c>
      <c r="F2526" s="964"/>
      <c r="G2526" s="958">
        <f>ROUND(D2526*E2526,2)</f>
        <v>40.049999999999997</v>
      </c>
      <c r="H2526" s="958"/>
      <c r="I2526" s="407"/>
      <c r="J2526" s="961"/>
      <c r="K2526" s="961"/>
    </row>
    <row r="2527" spans="1:11">
      <c r="A2527" s="398"/>
      <c r="B2527" s="230" t="s">
        <v>704</v>
      </c>
      <c r="C2527" s="231" t="s">
        <v>112</v>
      </c>
      <c r="D2527" s="401">
        <v>1.897</v>
      </c>
      <c r="E2527" s="964">
        <f>Insumos!C682</f>
        <v>6.4792000000000005</v>
      </c>
      <c r="F2527" s="964"/>
      <c r="G2527" s="958">
        <f>ROUND(D2527*E2527,2)</f>
        <v>12.29</v>
      </c>
      <c r="H2527" s="958"/>
      <c r="J2527" s="961"/>
      <c r="K2527" s="961"/>
    </row>
    <row r="2528" spans="1:11">
      <c r="A2528" s="398"/>
      <c r="B2528" s="230" t="s">
        <v>517</v>
      </c>
      <c r="C2528" s="231" t="s">
        <v>112</v>
      </c>
      <c r="D2528" s="401">
        <v>1.895</v>
      </c>
      <c r="E2528" s="964">
        <f>Insumos!C683</f>
        <v>8.6722999999999999</v>
      </c>
      <c r="F2528" s="964"/>
      <c r="G2528" s="958">
        <f>ROUND(D2528*E2528,2)</f>
        <v>16.43</v>
      </c>
      <c r="H2528" s="958"/>
    </row>
    <row r="2529" spans="1:10">
      <c r="A2529" s="398"/>
      <c r="B2529" s="955" t="s">
        <v>536</v>
      </c>
      <c r="C2529" s="955"/>
      <c r="D2529" s="955"/>
      <c r="E2529" s="389"/>
      <c r="F2529" s="409"/>
      <c r="G2529" s="410"/>
      <c r="H2529" s="249">
        <f>SUM(G2524:H2526)</f>
        <v>40.72</v>
      </c>
    </row>
    <row r="2530" spans="1:10">
      <c r="A2530" s="398"/>
      <c r="B2530" s="955" t="s">
        <v>537</v>
      </c>
      <c r="C2530" s="955"/>
      <c r="D2530" s="955"/>
      <c r="E2530" s="389"/>
      <c r="F2530" s="409"/>
      <c r="G2530" s="410"/>
      <c r="H2530" s="249">
        <f>SUM(G2527:H2528)</f>
        <v>28.72</v>
      </c>
    </row>
    <row r="2531" spans="1:10">
      <c r="A2531" s="398"/>
      <c r="B2531" s="955" t="s">
        <v>1937</v>
      </c>
      <c r="C2531" s="955"/>
      <c r="D2531" s="955"/>
      <c r="E2531" s="389"/>
      <c r="F2531" s="409"/>
      <c r="G2531" s="410"/>
      <c r="H2531" s="249">
        <f>SUM(H2529:H2530)</f>
        <v>69.44</v>
      </c>
    </row>
    <row r="2532" spans="1:10">
      <c r="A2532" s="398"/>
      <c r="B2532" s="955" t="s">
        <v>538</v>
      </c>
      <c r="C2532" s="955"/>
      <c r="D2532" s="955"/>
      <c r="E2532" s="389"/>
      <c r="F2532" s="411" t="s">
        <v>539</v>
      </c>
      <c r="G2532" s="410"/>
      <c r="H2532" s="249">
        <f>ROUND(H2531*F2532,2)</f>
        <v>17.329999999999998</v>
      </c>
    </row>
    <row r="2533" spans="1:10">
      <c r="A2533" s="398"/>
      <c r="B2533" s="956" t="s">
        <v>540</v>
      </c>
      <c r="C2533" s="956"/>
      <c r="D2533" s="956"/>
      <c r="E2533" s="740"/>
      <c r="F2533" s="768"/>
      <c r="G2533" s="769"/>
      <c r="H2533" s="770">
        <f>SUM(H2531:H2532)</f>
        <v>86.77</v>
      </c>
    </row>
    <row r="2534" spans="1:10" s="579" customFormat="1">
      <c r="A2534" s="601"/>
      <c r="B2534" s="780"/>
      <c r="C2534" s="780"/>
      <c r="D2534" s="780"/>
      <c r="E2534" s="740"/>
      <c r="F2534" s="768"/>
      <c r="G2534" s="769"/>
      <c r="H2534" s="770"/>
      <c r="I2534" s="400"/>
      <c r="J2534" s="404"/>
    </row>
    <row r="2535" spans="1:10" ht="19.899999999999999" customHeight="1">
      <c r="A2535" s="403" t="s">
        <v>2504</v>
      </c>
      <c r="B2535" s="961" t="s">
        <v>812</v>
      </c>
      <c r="C2535" s="961"/>
      <c r="D2535" s="961"/>
      <c r="E2535" s="961"/>
      <c r="F2535" s="961"/>
      <c r="G2535" s="402"/>
      <c r="H2535" s="403" t="s">
        <v>88</v>
      </c>
    </row>
    <row r="2536" spans="1:10">
      <c r="A2536" s="398"/>
      <c r="B2536" s="230" t="s">
        <v>746</v>
      </c>
      <c r="C2536" s="231" t="s">
        <v>492</v>
      </c>
      <c r="D2536" s="401">
        <v>1.0200000000000001E-2</v>
      </c>
      <c r="E2536" s="964">
        <f>Insumos!C684</f>
        <v>25.898600000000002</v>
      </c>
      <c r="F2536" s="964"/>
      <c r="G2536" s="958">
        <f>ROUND(D2536*E2536,2)</f>
        <v>0.26</v>
      </c>
      <c r="H2536" s="958"/>
    </row>
    <row r="2537" spans="1:10">
      <c r="A2537" s="398"/>
      <c r="B2537" s="230" t="s">
        <v>813</v>
      </c>
      <c r="C2537" s="231" t="s">
        <v>14</v>
      </c>
      <c r="D2537" s="401">
        <v>1</v>
      </c>
      <c r="E2537" s="964">
        <f>Insumos!C685</f>
        <v>0.7098000000000001</v>
      </c>
      <c r="F2537" s="964"/>
      <c r="G2537" s="958">
        <f>ROUND(D2537*E2537,2)</f>
        <v>0.71</v>
      </c>
      <c r="H2537" s="958"/>
    </row>
    <row r="2538" spans="1:10" s="406" customFormat="1" ht="15">
      <c r="A2538" s="398"/>
      <c r="B2538" s="230" t="s">
        <v>747</v>
      </c>
      <c r="C2538" s="231" t="s">
        <v>14</v>
      </c>
      <c r="D2538" s="401">
        <v>3.5000000000000001E-3</v>
      </c>
      <c r="E2538" s="964">
        <f>Insumos!C686</f>
        <v>30.676100000000002</v>
      </c>
      <c r="F2538" s="964"/>
      <c r="G2538" s="958">
        <f>ROUND(D2538*E2538,2)</f>
        <v>0.11</v>
      </c>
      <c r="H2538" s="958"/>
      <c r="I2538" s="407"/>
      <c r="J2538" s="408"/>
    </row>
    <row r="2539" spans="1:10">
      <c r="A2539" s="398"/>
      <c r="B2539" s="230" t="s">
        <v>517</v>
      </c>
      <c r="C2539" s="231" t="s">
        <v>112</v>
      </c>
      <c r="D2539" s="401">
        <v>0.18</v>
      </c>
      <c r="E2539" s="964">
        <f>Insumos!C687</f>
        <v>8.6722999999999999</v>
      </c>
      <c r="F2539" s="964"/>
      <c r="G2539" s="958">
        <f>ROUND(D2539*E2539,2)</f>
        <v>1.56</v>
      </c>
      <c r="H2539" s="958"/>
    </row>
    <row r="2540" spans="1:10">
      <c r="A2540" s="398"/>
      <c r="B2540" s="230" t="s">
        <v>509</v>
      </c>
      <c r="C2540" s="231" t="s">
        <v>112</v>
      </c>
      <c r="D2540" s="401">
        <v>0.18</v>
      </c>
      <c r="E2540" s="964">
        <f>Insumos!C688</f>
        <v>6.4064000000000005</v>
      </c>
      <c r="F2540" s="964"/>
      <c r="G2540" s="958">
        <f>ROUND(D2540*E2540,2)</f>
        <v>1.1499999999999999</v>
      </c>
      <c r="H2540" s="958"/>
    </row>
    <row r="2541" spans="1:10">
      <c r="A2541" s="398"/>
      <c r="B2541" s="955" t="s">
        <v>536</v>
      </c>
      <c r="C2541" s="955"/>
      <c r="D2541" s="955"/>
      <c r="E2541" s="389"/>
      <c r="F2541" s="409"/>
      <c r="G2541" s="410"/>
      <c r="H2541" s="249">
        <f>SUM(G2536:H2538)</f>
        <v>1.08</v>
      </c>
    </row>
    <row r="2542" spans="1:10">
      <c r="A2542" s="398"/>
      <c r="B2542" s="955" t="s">
        <v>537</v>
      </c>
      <c r="C2542" s="955"/>
      <c r="D2542" s="955"/>
      <c r="E2542" s="389"/>
      <c r="F2542" s="409"/>
      <c r="G2542" s="410"/>
      <c r="H2542" s="249">
        <f>SUM(G2539:H2540)</f>
        <v>2.71</v>
      </c>
    </row>
    <row r="2543" spans="1:10">
      <c r="A2543" s="398"/>
      <c r="B2543" s="955" t="s">
        <v>1937</v>
      </c>
      <c r="C2543" s="955"/>
      <c r="D2543" s="955"/>
      <c r="E2543" s="389"/>
      <c r="F2543" s="409"/>
      <c r="G2543" s="410"/>
      <c r="H2543" s="249">
        <f>SUM(H2541:H2542)</f>
        <v>3.79</v>
      </c>
    </row>
    <row r="2544" spans="1:10">
      <c r="A2544" s="398"/>
      <c r="B2544" s="955" t="s">
        <v>538</v>
      </c>
      <c r="C2544" s="955"/>
      <c r="D2544" s="955"/>
      <c r="E2544" s="389"/>
      <c r="F2544" s="411" t="s">
        <v>539</v>
      </c>
      <c r="G2544" s="410"/>
      <c r="H2544" s="249">
        <f>ROUND(H2543*F2544,2)</f>
        <v>0.95</v>
      </c>
    </row>
    <row r="2545" spans="1:10">
      <c r="A2545" s="398"/>
      <c r="B2545" s="956" t="s">
        <v>540</v>
      </c>
      <c r="C2545" s="956"/>
      <c r="D2545" s="956"/>
      <c r="E2545" s="740"/>
      <c r="F2545" s="768"/>
      <c r="G2545" s="769"/>
      <c r="H2545" s="770">
        <f>SUM(H2543:H2544)</f>
        <v>4.74</v>
      </c>
    </row>
    <row r="2546" spans="1:10" s="579" customFormat="1">
      <c r="A2546" s="601"/>
      <c r="B2546" s="780"/>
      <c r="C2546" s="780"/>
      <c r="D2546" s="780"/>
      <c r="E2546" s="740"/>
      <c r="F2546" s="768"/>
      <c r="G2546" s="769"/>
      <c r="H2546" s="770"/>
      <c r="I2546" s="400"/>
      <c r="J2546" s="404"/>
    </row>
    <row r="2547" spans="1:10" ht="16.149999999999999" customHeight="1">
      <c r="A2547" s="403" t="s">
        <v>2505</v>
      </c>
      <c r="B2547" s="961" t="s">
        <v>814</v>
      </c>
      <c r="C2547" s="961"/>
      <c r="D2547" s="961"/>
      <c r="E2547" s="961"/>
      <c r="F2547" s="961"/>
      <c r="G2547" s="402"/>
      <c r="H2547" s="403" t="s">
        <v>88</v>
      </c>
    </row>
    <row r="2548" spans="1:10">
      <c r="A2548" s="398"/>
      <c r="B2548" s="230" t="s">
        <v>746</v>
      </c>
      <c r="C2548" s="231" t="s">
        <v>492</v>
      </c>
      <c r="D2548" s="401">
        <v>1.1232000000000001E-2</v>
      </c>
      <c r="E2548" s="964">
        <f>Insumos!C689</f>
        <v>25.898600000000002</v>
      </c>
      <c r="F2548" s="964"/>
      <c r="G2548" s="958">
        <f>ROUND(D2548*E2548,2)</f>
        <v>0.28999999999999998</v>
      </c>
      <c r="H2548" s="958"/>
    </row>
    <row r="2549" spans="1:10">
      <c r="A2549" s="398"/>
      <c r="B2549" s="230" t="s">
        <v>747</v>
      </c>
      <c r="C2549" s="231" t="s">
        <v>14</v>
      </c>
      <c r="D2549" s="401">
        <v>4.0000000000000001E-3</v>
      </c>
      <c r="E2549" s="964">
        <f>Insumos!C690</f>
        <v>30.676100000000002</v>
      </c>
      <c r="F2549" s="964"/>
      <c r="G2549" s="958">
        <f>ROUND(D2549*E2549,2)</f>
        <v>0.12</v>
      </c>
      <c r="H2549" s="958"/>
    </row>
    <row r="2550" spans="1:10" s="406" customFormat="1" ht="15">
      <c r="A2550" s="398"/>
      <c r="B2550" s="230" t="s">
        <v>815</v>
      </c>
      <c r="C2550" s="231" t="s">
        <v>14</v>
      </c>
      <c r="D2550" s="401">
        <v>1</v>
      </c>
      <c r="E2550" s="964">
        <f>Insumos!C691</f>
        <v>2.1385000000000001</v>
      </c>
      <c r="F2550" s="964"/>
      <c r="G2550" s="958">
        <f>ROUND(D2550*E2550,2)</f>
        <v>2.14</v>
      </c>
      <c r="H2550" s="958"/>
      <c r="I2550" s="407"/>
      <c r="J2550" s="408"/>
    </row>
    <row r="2551" spans="1:10">
      <c r="A2551" s="398"/>
      <c r="B2551" s="230" t="s">
        <v>517</v>
      </c>
      <c r="C2551" s="231" t="s">
        <v>112</v>
      </c>
      <c r="D2551" s="401">
        <v>0.19</v>
      </c>
      <c r="E2551" s="964">
        <f>Insumos!C692</f>
        <v>8.6722999999999999</v>
      </c>
      <c r="F2551" s="964"/>
      <c r="G2551" s="958">
        <f>ROUND(D2551*E2551,2)</f>
        <v>1.65</v>
      </c>
      <c r="H2551" s="958"/>
    </row>
    <row r="2552" spans="1:10">
      <c r="A2552" s="398"/>
      <c r="B2552" s="230" t="s">
        <v>509</v>
      </c>
      <c r="C2552" s="231" t="s">
        <v>112</v>
      </c>
      <c r="D2552" s="401">
        <v>0.19</v>
      </c>
      <c r="E2552" s="964">
        <f>Insumos!C693</f>
        <v>6.4064000000000005</v>
      </c>
      <c r="F2552" s="964"/>
      <c r="G2552" s="958">
        <f>ROUND(D2552*E2552,2)</f>
        <v>1.22</v>
      </c>
      <c r="H2552" s="958"/>
    </row>
    <row r="2553" spans="1:10">
      <c r="A2553" s="398"/>
      <c r="B2553" s="955" t="s">
        <v>536</v>
      </c>
      <c r="C2553" s="955"/>
      <c r="D2553" s="955"/>
      <c r="E2553" s="389"/>
      <c r="F2553" s="409"/>
      <c r="G2553" s="410"/>
      <c r="H2553" s="249">
        <f>SUM(G2547:H2550)</f>
        <v>2.5500000000000003</v>
      </c>
    </row>
    <row r="2554" spans="1:10">
      <c r="A2554" s="398"/>
      <c r="B2554" s="955" t="s">
        <v>537</v>
      </c>
      <c r="C2554" s="955"/>
      <c r="D2554" s="955"/>
      <c r="E2554" s="389"/>
      <c r="F2554" s="409"/>
      <c r="G2554" s="410"/>
      <c r="H2554" s="249">
        <f>SUM(G2551:H2552)</f>
        <v>2.87</v>
      </c>
    </row>
    <row r="2555" spans="1:10">
      <c r="A2555" s="398"/>
      <c r="B2555" s="955" t="s">
        <v>1937</v>
      </c>
      <c r="C2555" s="955"/>
      <c r="D2555" s="955"/>
      <c r="E2555" s="389"/>
      <c r="F2555" s="409"/>
      <c r="G2555" s="410"/>
      <c r="H2555" s="249">
        <f>SUM(H2553:H2554)</f>
        <v>5.42</v>
      </c>
    </row>
    <row r="2556" spans="1:10">
      <c r="A2556" s="398"/>
      <c r="B2556" s="955" t="s">
        <v>538</v>
      </c>
      <c r="C2556" s="955"/>
      <c r="D2556" s="955"/>
      <c r="E2556" s="389"/>
      <c r="F2556" s="411" t="s">
        <v>539</v>
      </c>
      <c r="G2556" s="410"/>
      <c r="H2556" s="249">
        <f>ROUND(H2555*F2556,2)</f>
        <v>1.35</v>
      </c>
    </row>
    <row r="2557" spans="1:10">
      <c r="A2557" s="398"/>
      <c r="B2557" s="956" t="s">
        <v>540</v>
      </c>
      <c r="C2557" s="956"/>
      <c r="D2557" s="956"/>
      <c r="E2557" s="740"/>
      <c r="F2557" s="768"/>
      <c r="G2557" s="769"/>
      <c r="H2557" s="770">
        <f>SUM(H2555:H2556)</f>
        <v>6.77</v>
      </c>
    </row>
    <row r="2558" spans="1:10" s="579" customFormat="1">
      <c r="A2558" s="601"/>
      <c r="B2558" s="780"/>
      <c r="C2558" s="780"/>
      <c r="D2558" s="780"/>
      <c r="E2558" s="740"/>
      <c r="F2558" s="768"/>
      <c r="G2558" s="769"/>
      <c r="H2558" s="770"/>
      <c r="I2558" s="400"/>
      <c r="J2558" s="404"/>
    </row>
    <row r="2559" spans="1:10" ht="16.899999999999999" customHeight="1">
      <c r="A2559" s="403" t="s">
        <v>2506</v>
      </c>
      <c r="B2559" s="961" t="s">
        <v>816</v>
      </c>
      <c r="C2559" s="961"/>
      <c r="D2559" s="961"/>
      <c r="E2559" s="961"/>
      <c r="F2559" s="961"/>
      <c r="G2559" s="402"/>
      <c r="H2559" s="403" t="s">
        <v>88</v>
      </c>
    </row>
    <row r="2560" spans="1:10">
      <c r="A2560" s="398"/>
      <c r="B2560" s="230" t="s">
        <v>746</v>
      </c>
      <c r="C2560" s="231" t="s">
        <v>492</v>
      </c>
      <c r="D2560" s="401">
        <v>1.4999999999999999E-2</v>
      </c>
      <c r="E2560" s="964">
        <f>Insumos!C694</f>
        <v>25.898600000000002</v>
      </c>
      <c r="F2560" s="964"/>
      <c r="G2560" s="958">
        <f>ROUND(D2560*E2560,2)</f>
        <v>0.39</v>
      </c>
      <c r="H2560" s="958"/>
    </row>
    <row r="2561" spans="1:10" s="406" customFormat="1" ht="15">
      <c r="A2561" s="398"/>
      <c r="B2561" s="230" t="s">
        <v>747</v>
      </c>
      <c r="C2561" s="231" t="s">
        <v>14</v>
      </c>
      <c r="D2561" s="401">
        <v>5.0000000000000001E-3</v>
      </c>
      <c r="E2561" s="964">
        <f>Insumos!C695</f>
        <v>30.676100000000002</v>
      </c>
      <c r="F2561" s="964"/>
      <c r="G2561" s="958">
        <f>ROUND(D2561*E2561,2)</f>
        <v>0.15</v>
      </c>
      <c r="H2561" s="958"/>
      <c r="I2561" s="407"/>
      <c r="J2561" s="408"/>
    </row>
    <row r="2562" spans="1:10">
      <c r="A2562" s="398"/>
      <c r="B2562" s="230" t="s">
        <v>817</v>
      </c>
      <c r="C2562" s="231" t="s">
        <v>14</v>
      </c>
      <c r="D2562" s="401">
        <v>1</v>
      </c>
      <c r="E2562" s="964">
        <f>Insumos!C696</f>
        <v>5.4782000000000002</v>
      </c>
      <c r="F2562" s="964"/>
      <c r="G2562" s="958">
        <f>ROUND(D2562*E2562,2)</f>
        <v>5.48</v>
      </c>
      <c r="H2562" s="958"/>
    </row>
    <row r="2563" spans="1:10">
      <c r="A2563" s="398"/>
      <c r="B2563" s="230" t="s">
        <v>517</v>
      </c>
      <c r="C2563" s="231" t="s">
        <v>112</v>
      </c>
      <c r="D2563" s="401">
        <v>0.23</v>
      </c>
      <c r="E2563" s="964">
        <f>Insumos!C697</f>
        <v>8.6722999999999999</v>
      </c>
      <c r="F2563" s="964"/>
      <c r="G2563" s="958">
        <f>ROUND(D2563*E2563,2)</f>
        <v>1.99</v>
      </c>
      <c r="H2563" s="958"/>
    </row>
    <row r="2564" spans="1:10">
      <c r="A2564" s="398"/>
      <c r="B2564" s="230" t="s">
        <v>509</v>
      </c>
      <c r="C2564" s="231" t="s">
        <v>112</v>
      </c>
      <c r="D2564" s="401">
        <v>0.23</v>
      </c>
      <c r="E2564" s="964">
        <f>Insumos!C698</f>
        <v>6.4064000000000005</v>
      </c>
      <c r="F2564" s="964"/>
      <c r="G2564" s="958">
        <f>ROUND(D2564*E2564,2)</f>
        <v>1.47</v>
      </c>
      <c r="H2564" s="958"/>
    </row>
    <row r="2565" spans="1:10">
      <c r="A2565" s="398"/>
      <c r="B2565" s="955" t="s">
        <v>536</v>
      </c>
      <c r="C2565" s="955"/>
      <c r="D2565" s="955"/>
      <c r="E2565" s="389"/>
      <c r="F2565" s="409"/>
      <c r="G2565" s="410"/>
      <c r="H2565" s="249">
        <f>SUM(G2560:H2562)</f>
        <v>6.0200000000000005</v>
      </c>
    </row>
    <row r="2566" spans="1:10">
      <c r="A2566" s="398"/>
      <c r="B2566" s="955" t="s">
        <v>537</v>
      </c>
      <c r="C2566" s="955"/>
      <c r="D2566" s="955"/>
      <c r="E2566" s="389"/>
      <c r="F2566" s="409"/>
      <c r="G2566" s="410"/>
      <c r="H2566" s="249">
        <f>SUM(G2563:H2564)</f>
        <v>3.46</v>
      </c>
    </row>
    <row r="2567" spans="1:10">
      <c r="A2567" s="398"/>
      <c r="B2567" s="955" t="s">
        <v>1937</v>
      </c>
      <c r="C2567" s="955"/>
      <c r="D2567" s="955"/>
      <c r="E2567" s="389"/>
      <c r="F2567" s="409"/>
      <c r="G2567" s="410"/>
      <c r="H2567" s="249">
        <f>SUM(H2565:H2566)</f>
        <v>9.48</v>
      </c>
    </row>
    <row r="2568" spans="1:10">
      <c r="A2568" s="398"/>
      <c r="B2568" s="955" t="s">
        <v>538</v>
      </c>
      <c r="C2568" s="955"/>
      <c r="D2568" s="955"/>
      <c r="E2568" s="389"/>
      <c r="F2568" s="411" t="s">
        <v>539</v>
      </c>
      <c r="G2568" s="410"/>
      <c r="H2568" s="249">
        <f>ROUND(H2567*F2568,2)</f>
        <v>2.37</v>
      </c>
    </row>
    <row r="2569" spans="1:10">
      <c r="A2569" s="398"/>
      <c r="B2569" s="956" t="s">
        <v>540</v>
      </c>
      <c r="C2569" s="956"/>
      <c r="D2569" s="956"/>
      <c r="E2569" s="740"/>
      <c r="F2569" s="768"/>
      <c r="G2569" s="769"/>
      <c r="H2569" s="770">
        <f>SUM(H2567:H2568)</f>
        <v>11.850000000000001</v>
      </c>
    </row>
    <row r="2570" spans="1:10" s="579" customFormat="1">
      <c r="A2570" s="601"/>
      <c r="B2570" s="780"/>
      <c r="C2570" s="780"/>
      <c r="D2570" s="780"/>
      <c r="E2570" s="740"/>
      <c r="F2570" s="768"/>
      <c r="G2570" s="769"/>
      <c r="H2570" s="770"/>
      <c r="I2570" s="400"/>
      <c r="J2570" s="404"/>
    </row>
    <row r="2571" spans="1:10" ht="16.149999999999999" customHeight="1">
      <c r="A2571" s="403" t="s">
        <v>2507</v>
      </c>
      <c r="B2571" s="961" t="s">
        <v>818</v>
      </c>
      <c r="C2571" s="961"/>
      <c r="D2571" s="961"/>
      <c r="E2571" s="961"/>
      <c r="F2571" s="961"/>
      <c r="G2571" s="402"/>
      <c r="H2571" s="403" t="s">
        <v>88</v>
      </c>
    </row>
    <row r="2572" spans="1:10" s="468" customFormat="1" ht="15">
      <c r="A2572" s="398"/>
      <c r="B2572" s="230" t="s">
        <v>746</v>
      </c>
      <c r="C2572" s="231" t="s">
        <v>492</v>
      </c>
      <c r="D2572" s="401">
        <v>2.1999999999999999E-2</v>
      </c>
      <c r="E2572" s="964">
        <f>Insumos!C699</f>
        <v>25.898600000000002</v>
      </c>
      <c r="F2572" s="964"/>
      <c r="G2572" s="958">
        <f>ROUND(D2572*E2572,2)</f>
        <v>0.56999999999999995</v>
      </c>
      <c r="H2572" s="958"/>
      <c r="I2572" s="400"/>
      <c r="J2572" s="467"/>
    </row>
    <row r="2573" spans="1:10" s="406" customFormat="1" ht="15">
      <c r="A2573" s="398"/>
      <c r="B2573" s="230" t="s">
        <v>747</v>
      </c>
      <c r="C2573" s="231" t="s">
        <v>14</v>
      </c>
      <c r="D2573" s="401">
        <v>7.0000000000000001E-3</v>
      </c>
      <c r="E2573" s="964">
        <f>Insumos!C700</f>
        <v>30.676100000000002</v>
      </c>
      <c r="F2573" s="964"/>
      <c r="G2573" s="958">
        <f>ROUND(D2573*E2573,2)</f>
        <v>0.21</v>
      </c>
      <c r="H2573" s="958"/>
      <c r="I2573" s="407"/>
      <c r="J2573" s="408"/>
    </row>
    <row r="2574" spans="1:10">
      <c r="A2574" s="398"/>
      <c r="B2574" s="230" t="s">
        <v>819</v>
      </c>
      <c r="C2574" s="231" t="s">
        <v>14</v>
      </c>
      <c r="D2574" s="401">
        <v>1</v>
      </c>
      <c r="E2574" s="964">
        <f>Insumos!C701</f>
        <v>5.7148000000000003</v>
      </c>
      <c r="F2574" s="964"/>
      <c r="G2574" s="958">
        <f>ROUND(D2574*E2574,2)</f>
        <v>5.71</v>
      </c>
      <c r="H2574" s="958"/>
    </row>
    <row r="2575" spans="1:10">
      <c r="A2575" s="398"/>
      <c r="B2575" s="230" t="s">
        <v>517</v>
      </c>
      <c r="C2575" s="231" t="s">
        <v>112</v>
      </c>
      <c r="D2575" s="401">
        <v>0.26820000000000005</v>
      </c>
      <c r="E2575" s="964">
        <f>Insumos!C702</f>
        <v>8.6722999999999999</v>
      </c>
      <c r="F2575" s="964"/>
      <c r="G2575" s="958">
        <f>ROUND(D2575*E2575,2)</f>
        <v>2.33</v>
      </c>
      <c r="H2575" s="958"/>
    </row>
    <row r="2576" spans="1:10">
      <c r="A2576" s="398"/>
      <c r="B2576" s="230" t="s">
        <v>509</v>
      </c>
      <c r="C2576" s="231" t="s">
        <v>112</v>
      </c>
      <c r="D2576" s="401">
        <v>0.27</v>
      </c>
      <c r="E2576" s="964">
        <f>Insumos!C703</f>
        <v>6.4064000000000005</v>
      </c>
      <c r="F2576" s="964"/>
      <c r="G2576" s="958">
        <f>ROUND(D2576*E2576,2)</f>
        <v>1.73</v>
      </c>
      <c r="H2576" s="958"/>
    </row>
    <row r="2577" spans="1:10">
      <c r="A2577" s="398"/>
      <c r="B2577" s="955" t="s">
        <v>536</v>
      </c>
      <c r="C2577" s="955"/>
      <c r="D2577" s="955"/>
      <c r="E2577" s="389"/>
      <c r="F2577" s="409"/>
      <c r="G2577" s="410"/>
      <c r="H2577" s="249">
        <f>SUM(G2572:H2574)</f>
        <v>6.49</v>
      </c>
    </row>
    <row r="2578" spans="1:10">
      <c r="A2578" s="398"/>
      <c r="B2578" s="955" t="s">
        <v>537</v>
      </c>
      <c r="C2578" s="955"/>
      <c r="D2578" s="955"/>
      <c r="E2578" s="389"/>
      <c r="F2578" s="409"/>
      <c r="G2578" s="410"/>
      <c r="H2578" s="249">
        <f>SUM(G2575:H2576)</f>
        <v>4.0600000000000005</v>
      </c>
    </row>
    <row r="2579" spans="1:10">
      <c r="A2579" s="398"/>
      <c r="B2579" s="955" t="s">
        <v>1937</v>
      </c>
      <c r="C2579" s="955"/>
      <c r="D2579" s="955"/>
      <c r="E2579" s="389"/>
      <c r="F2579" s="409"/>
      <c r="G2579" s="410"/>
      <c r="H2579" s="249">
        <f>SUM(H2577:H2578)</f>
        <v>10.55</v>
      </c>
    </row>
    <row r="2580" spans="1:10">
      <c r="A2580" s="398"/>
      <c r="B2580" s="955" t="s">
        <v>538</v>
      </c>
      <c r="C2580" s="955"/>
      <c r="D2580" s="955"/>
      <c r="E2580" s="389"/>
      <c r="F2580" s="411" t="s">
        <v>539</v>
      </c>
      <c r="G2580" s="410"/>
      <c r="H2580" s="249">
        <f>ROUND(H2579*F2580,2)</f>
        <v>2.63</v>
      </c>
    </row>
    <row r="2581" spans="1:10">
      <c r="A2581" s="398"/>
      <c r="B2581" s="956" t="s">
        <v>540</v>
      </c>
      <c r="C2581" s="956"/>
      <c r="D2581" s="956"/>
      <c r="E2581" s="740"/>
      <c r="F2581" s="768"/>
      <c r="G2581" s="769"/>
      <c r="H2581" s="770">
        <f>SUM(H2579:H2580)</f>
        <v>13.18</v>
      </c>
    </row>
    <row r="2582" spans="1:10" s="579" customFormat="1">
      <c r="A2582" s="601"/>
      <c r="B2582" s="780"/>
      <c r="C2582" s="780"/>
      <c r="D2582" s="780"/>
      <c r="E2582" s="740"/>
      <c r="F2582" s="768"/>
      <c r="G2582" s="769"/>
      <c r="H2582" s="770"/>
      <c r="I2582" s="400"/>
      <c r="J2582" s="404"/>
    </row>
    <row r="2583" spans="1:10">
      <c r="A2583" s="403" t="s">
        <v>2508</v>
      </c>
      <c r="B2583" s="961" t="s">
        <v>820</v>
      </c>
      <c r="C2583" s="961"/>
      <c r="D2583" s="961"/>
      <c r="E2583" s="961"/>
      <c r="F2583" s="961"/>
      <c r="G2583" s="402"/>
      <c r="H2583" s="403" t="s">
        <v>88</v>
      </c>
    </row>
    <row r="2584" spans="1:10">
      <c r="A2584" s="398"/>
      <c r="B2584" s="230" t="s">
        <v>746</v>
      </c>
      <c r="C2584" s="231" t="s">
        <v>492</v>
      </c>
      <c r="D2584" s="401">
        <v>2.5899999999999999E-2</v>
      </c>
      <c r="E2584" s="964">
        <f>Insumos!C704</f>
        <v>25.898600000000002</v>
      </c>
      <c r="F2584" s="964"/>
      <c r="G2584" s="958">
        <f>ROUND(D2584*E2584,2)</f>
        <v>0.67</v>
      </c>
      <c r="H2584" s="958"/>
    </row>
    <row r="2585" spans="1:10">
      <c r="A2585" s="398"/>
      <c r="B2585" s="230" t="s">
        <v>747</v>
      </c>
      <c r="C2585" s="231" t="s">
        <v>14</v>
      </c>
      <c r="D2585" s="401">
        <v>8.9999999999999993E-3</v>
      </c>
      <c r="E2585" s="964">
        <f>Insumos!C705</f>
        <v>30.676100000000002</v>
      </c>
      <c r="F2585" s="964"/>
      <c r="G2585" s="958">
        <f>ROUND(D2585*E2585,2)</f>
        <v>0.28000000000000003</v>
      </c>
      <c r="H2585" s="958"/>
    </row>
    <row r="2586" spans="1:10">
      <c r="A2586" s="398"/>
      <c r="B2586" s="230" t="s">
        <v>821</v>
      </c>
      <c r="C2586" s="231" t="s">
        <v>14</v>
      </c>
      <c r="D2586" s="401">
        <v>1</v>
      </c>
      <c r="E2586" s="964">
        <f>Insumos!C706</f>
        <v>21.894600000000001</v>
      </c>
      <c r="F2586" s="964"/>
      <c r="G2586" s="958">
        <f>ROUND(D2586*E2586,2)</f>
        <v>21.89</v>
      </c>
      <c r="H2586" s="958"/>
    </row>
    <row r="2587" spans="1:10">
      <c r="A2587" s="398"/>
      <c r="B2587" s="230" t="s">
        <v>509</v>
      </c>
      <c r="C2587" s="231" t="s">
        <v>112</v>
      </c>
      <c r="D2587" s="401">
        <v>0.3</v>
      </c>
      <c r="E2587" s="964">
        <f>Insumos!C707</f>
        <v>6.4064000000000005</v>
      </c>
      <c r="F2587" s="964"/>
      <c r="G2587" s="958">
        <f>ROUND(D2587*E2587,2)</f>
        <v>1.92</v>
      </c>
      <c r="H2587" s="958"/>
    </row>
    <row r="2588" spans="1:10">
      <c r="A2588" s="398"/>
      <c r="B2588" s="230" t="s">
        <v>517</v>
      </c>
      <c r="C2588" s="231" t="s">
        <v>112</v>
      </c>
      <c r="D2588" s="401">
        <v>0.3</v>
      </c>
      <c r="E2588" s="964">
        <f>Insumos!C708</f>
        <v>8.6722999999999999</v>
      </c>
      <c r="F2588" s="964"/>
      <c r="G2588" s="958">
        <f>ROUND(D2588*E2588,2)</f>
        <v>2.6</v>
      </c>
      <c r="H2588" s="958"/>
    </row>
    <row r="2589" spans="1:10" s="406" customFormat="1" ht="15">
      <c r="A2589" s="398"/>
      <c r="B2589" s="955" t="s">
        <v>536</v>
      </c>
      <c r="C2589" s="955"/>
      <c r="D2589" s="955"/>
      <c r="E2589" s="389"/>
      <c r="F2589" s="409"/>
      <c r="G2589" s="410"/>
      <c r="H2589" s="249">
        <f>SUM(G2584:H2586)</f>
        <v>22.84</v>
      </c>
      <c r="I2589" s="407"/>
      <c r="J2589" s="408"/>
    </row>
    <row r="2590" spans="1:10">
      <c r="A2590" s="398"/>
      <c r="B2590" s="955" t="s">
        <v>537</v>
      </c>
      <c r="C2590" s="955"/>
      <c r="D2590" s="955"/>
      <c r="E2590" s="389"/>
      <c r="F2590" s="409"/>
      <c r="G2590" s="410"/>
      <c r="H2590" s="249">
        <f>SUM(G2587:H2588)</f>
        <v>4.5199999999999996</v>
      </c>
    </row>
    <row r="2591" spans="1:10">
      <c r="A2591" s="398"/>
      <c r="B2591" s="955" t="s">
        <v>1937</v>
      </c>
      <c r="C2591" s="955"/>
      <c r="D2591" s="955"/>
      <c r="E2591" s="389"/>
      <c r="F2591" s="409"/>
      <c r="G2591" s="410"/>
      <c r="H2591" s="249">
        <f>SUM(H2589:H2590)</f>
        <v>27.36</v>
      </c>
    </row>
    <row r="2592" spans="1:10">
      <c r="A2592" s="398"/>
      <c r="B2592" s="955" t="s">
        <v>538</v>
      </c>
      <c r="C2592" s="955"/>
      <c r="D2592" s="955"/>
      <c r="E2592" s="389"/>
      <c r="F2592" s="411" t="s">
        <v>539</v>
      </c>
      <c r="G2592" s="410"/>
      <c r="H2592" s="249">
        <f>ROUND(H2591*F2592,2)</f>
        <v>6.83</v>
      </c>
    </row>
    <row r="2593" spans="1:10">
      <c r="A2593" s="398"/>
      <c r="B2593" s="956" t="s">
        <v>540</v>
      </c>
      <c r="C2593" s="956"/>
      <c r="D2593" s="956"/>
      <c r="E2593" s="740"/>
      <c r="F2593" s="768"/>
      <c r="G2593" s="769"/>
      <c r="H2593" s="770">
        <f>SUM(H2591:H2592)</f>
        <v>34.19</v>
      </c>
    </row>
    <row r="2594" spans="1:10" s="579" customFormat="1">
      <c r="A2594" s="601"/>
      <c r="B2594" s="780"/>
      <c r="C2594" s="780"/>
      <c r="D2594" s="780"/>
      <c r="E2594" s="740"/>
      <c r="F2594" s="768"/>
      <c r="G2594" s="769"/>
      <c r="H2594" s="770"/>
      <c r="I2594" s="400"/>
      <c r="J2594" s="404"/>
    </row>
    <row r="2595" spans="1:10">
      <c r="A2595" s="403" t="s">
        <v>2509</v>
      </c>
      <c r="B2595" s="961" t="s">
        <v>822</v>
      </c>
      <c r="C2595" s="961"/>
      <c r="D2595" s="961"/>
      <c r="E2595" s="961"/>
      <c r="F2595" s="961"/>
      <c r="G2595" s="402"/>
      <c r="H2595" s="403" t="s">
        <v>88</v>
      </c>
    </row>
    <row r="2596" spans="1:10">
      <c r="A2596" s="398"/>
      <c r="B2596" s="230" t="s">
        <v>746</v>
      </c>
      <c r="C2596" s="231" t="s">
        <v>492</v>
      </c>
      <c r="D2596" s="401">
        <v>3.3500000000000002E-2</v>
      </c>
      <c r="E2596" s="964">
        <f>Insumos!C709</f>
        <v>25.898600000000002</v>
      </c>
      <c r="F2596" s="964"/>
      <c r="G2596" s="958">
        <f>ROUND(D2596*E2596,2)</f>
        <v>0.87</v>
      </c>
      <c r="H2596" s="958"/>
    </row>
    <row r="2597" spans="1:10">
      <c r="A2597" s="398"/>
      <c r="B2597" s="230" t="s">
        <v>747</v>
      </c>
      <c r="C2597" s="231" t="s">
        <v>14</v>
      </c>
      <c r="D2597" s="401">
        <v>1.2E-2</v>
      </c>
      <c r="E2597" s="964">
        <f>Insumos!C710</f>
        <v>30.676100000000002</v>
      </c>
      <c r="F2597" s="964"/>
      <c r="G2597" s="958">
        <f>ROUND(D2597*E2597,2)</f>
        <v>0.37</v>
      </c>
      <c r="H2597" s="958"/>
    </row>
    <row r="2598" spans="1:10">
      <c r="A2598" s="398"/>
      <c r="B2598" s="230" t="s">
        <v>823</v>
      </c>
      <c r="C2598" s="231" t="s">
        <v>14</v>
      </c>
      <c r="D2598" s="401">
        <v>1</v>
      </c>
      <c r="E2598" s="964">
        <f>Insumos!C711</f>
        <v>36.172499999999999</v>
      </c>
      <c r="F2598" s="964"/>
      <c r="G2598" s="958">
        <f>ROUND(D2598*E2598,2)</f>
        <v>36.17</v>
      </c>
      <c r="H2598" s="958"/>
    </row>
    <row r="2599" spans="1:10">
      <c r="A2599" s="398"/>
      <c r="B2599" s="230" t="s">
        <v>517</v>
      </c>
      <c r="C2599" s="231" t="s">
        <v>112</v>
      </c>
      <c r="D2599" s="401">
        <v>0.38</v>
      </c>
      <c r="E2599" s="964">
        <f>Insumos!C712</f>
        <v>8.6722999999999999</v>
      </c>
      <c r="F2599" s="964"/>
      <c r="G2599" s="958">
        <f>ROUND(D2599*E2599,2)</f>
        <v>3.3</v>
      </c>
      <c r="H2599" s="958"/>
    </row>
    <row r="2600" spans="1:10" s="406" customFormat="1" ht="15">
      <c r="A2600" s="398"/>
      <c r="B2600" s="230" t="s">
        <v>509</v>
      </c>
      <c r="C2600" s="231" t="s">
        <v>112</v>
      </c>
      <c r="D2600" s="401">
        <v>0.38</v>
      </c>
      <c r="E2600" s="964">
        <f>Insumos!C713</f>
        <v>6.4064000000000005</v>
      </c>
      <c r="F2600" s="964"/>
      <c r="G2600" s="958">
        <f>ROUND(D2600*E2600,2)</f>
        <v>2.4300000000000002</v>
      </c>
      <c r="H2600" s="958"/>
      <c r="I2600" s="407"/>
      <c r="J2600" s="408"/>
    </row>
    <row r="2601" spans="1:10">
      <c r="A2601" s="398"/>
      <c r="B2601" s="955" t="s">
        <v>536</v>
      </c>
      <c r="C2601" s="955"/>
      <c r="D2601" s="955"/>
      <c r="E2601" s="389"/>
      <c r="F2601" s="409"/>
      <c r="G2601" s="410"/>
      <c r="H2601" s="249">
        <f>SUM(G2596:H2598)</f>
        <v>37.410000000000004</v>
      </c>
    </row>
    <row r="2602" spans="1:10">
      <c r="A2602" s="398"/>
      <c r="B2602" s="955" t="s">
        <v>537</v>
      </c>
      <c r="C2602" s="955"/>
      <c r="D2602" s="955"/>
      <c r="E2602" s="389"/>
      <c r="F2602" s="409"/>
      <c r="G2602" s="410"/>
      <c r="H2602" s="249">
        <f>SUM(G2599:H2600)</f>
        <v>5.73</v>
      </c>
    </row>
    <row r="2603" spans="1:10">
      <c r="A2603" s="398"/>
      <c r="B2603" s="955" t="s">
        <v>1937</v>
      </c>
      <c r="C2603" s="955"/>
      <c r="D2603" s="955"/>
      <c r="E2603" s="389"/>
      <c r="F2603" s="409"/>
      <c r="G2603" s="410"/>
      <c r="H2603" s="249">
        <f>SUM(H2601:H2602)</f>
        <v>43.14</v>
      </c>
    </row>
    <row r="2604" spans="1:10">
      <c r="A2604" s="398"/>
      <c r="B2604" s="955" t="s">
        <v>538</v>
      </c>
      <c r="C2604" s="955"/>
      <c r="D2604" s="955"/>
      <c r="E2604" s="389"/>
      <c r="F2604" s="411" t="s">
        <v>539</v>
      </c>
      <c r="G2604" s="410"/>
      <c r="H2604" s="249">
        <f>ROUND(H2603*F2604,2)</f>
        <v>10.77</v>
      </c>
    </row>
    <row r="2605" spans="1:10">
      <c r="A2605" s="398"/>
      <c r="B2605" s="956" t="s">
        <v>540</v>
      </c>
      <c r="C2605" s="956"/>
      <c r="D2605" s="956"/>
      <c r="E2605" s="740"/>
      <c r="F2605" s="768"/>
      <c r="G2605" s="769"/>
      <c r="H2605" s="770">
        <f>SUM(H2603:H2604)</f>
        <v>53.91</v>
      </c>
    </row>
    <row r="2606" spans="1:10" s="579" customFormat="1">
      <c r="A2606" s="601"/>
      <c r="B2606" s="780"/>
      <c r="C2606" s="780"/>
      <c r="D2606" s="780"/>
      <c r="E2606" s="740"/>
      <c r="F2606" s="768"/>
      <c r="G2606" s="769"/>
      <c r="H2606" s="770"/>
      <c r="I2606" s="400"/>
      <c r="J2606" s="404"/>
    </row>
    <row r="2607" spans="1:10">
      <c r="A2607" s="403" t="s">
        <v>2510</v>
      </c>
      <c r="B2607" s="961" t="s">
        <v>824</v>
      </c>
      <c r="C2607" s="961"/>
      <c r="D2607" s="961"/>
      <c r="E2607" s="961"/>
      <c r="F2607" s="961"/>
      <c r="G2607" s="402"/>
      <c r="H2607" s="403" t="s">
        <v>88</v>
      </c>
    </row>
    <row r="2608" spans="1:10">
      <c r="A2608" s="398"/>
      <c r="B2608" s="230" t="s">
        <v>517</v>
      </c>
      <c r="C2608" s="231" t="s">
        <v>112</v>
      </c>
      <c r="D2608" s="401">
        <v>0.43</v>
      </c>
      <c r="E2608" s="991">
        <f>Insumos!C714</f>
        <v>8.6722999999999999</v>
      </c>
      <c r="F2608" s="959"/>
      <c r="G2608" s="958">
        <f>ROUND(D2608*E2608,2)</f>
        <v>3.73</v>
      </c>
      <c r="H2608" s="958"/>
    </row>
    <row r="2609" spans="1:10">
      <c r="A2609" s="398"/>
      <c r="B2609" s="230" t="s">
        <v>509</v>
      </c>
      <c r="C2609" s="231" t="s">
        <v>112</v>
      </c>
      <c r="D2609" s="401">
        <v>0.43</v>
      </c>
      <c r="E2609" s="991">
        <f>Insumos!C715</f>
        <v>6.4064000000000005</v>
      </c>
      <c r="F2609" s="959"/>
      <c r="G2609" s="958">
        <f>ROUND(D2609*E2609,2)</f>
        <v>2.75</v>
      </c>
      <c r="H2609" s="958"/>
    </row>
    <row r="2610" spans="1:10" s="406" customFormat="1" ht="15">
      <c r="A2610" s="398"/>
      <c r="B2610" s="230" t="s">
        <v>746</v>
      </c>
      <c r="C2610" s="231" t="s">
        <v>492</v>
      </c>
      <c r="D2610" s="401">
        <v>4.1000000000000002E-2</v>
      </c>
      <c r="E2610" s="991">
        <f>Insumos!C716</f>
        <v>25.898600000000002</v>
      </c>
      <c r="F2610" s="959"/>
      <c r="G2610" s="958">
        <f>ROUND(D2610*E2610,2)</f>
        <v>1.06</v>
      </c>
      <c r="H2610" s="958"/>
      <c r="I2610" s="407"/>
      <c r="J2610" s="408"/>
    </row>
    <row r="2611" spans="1:10">
      <c r="A2611" s="398"/>
      <c r="B2611" s="230" t="s">
        <v>747</v>
      </c>
      <c r="C2611" s="231" t="s">
        <v>14</v>
      </c>
      <c r="D2611" s="401">
        <v>1.5299999999999999E-2</v>
      </c>
      <c r="E2611" s="991">
        <f>Insumos!C717</f>
        <v>30.676100000000002</v>
      </c>
      <c r="F2611" s="959"/>
      <c r="G2611" s="958">
        <f>ROUND(D2611*E2611,2)</f>
        <v>0.47</v>
      </c>
      <c r="H2611" s="958"/>
    </row>
    <row r="2612" spans="1:10">
      <c r="A2612" s="398"/>
      <c r="B2612" s="230" t="s">
        <v>825</v>
      </c>
      <c r="C2612" s="231" t="s">
        <v>14</v>
      </c>
      <c r="D2612" s="401">
        <v>0.99964912280701756</v>
      </c>
      <c r="E2612" s="991">
        <f>Insumos!C718</f>
        <v>49.886200000000002</v>
      </c>
      <c r="F2612" s="959"/>
      <c r="G2612" s="958">
        <f>ROUND(D2612*E2612,2)</f>
        <v>49.87</v>
      </c>
      <c r="H2612" s="958"/>
    </row>
    <row r="2613" spans="1:10">
      <c r="A2613" s="398"/>
      <c r="B2613" s="955" t="s">
        <v>536</v>
      </c>
      <c r="C2613" s="955"/>
      <c r="D2613" s="955"/>
      <c r="E2613" s="389"/>
      <c r="F2613" s="409"/>
      <c r="G2613" s="410"/>
      <c r="H2613" s="249">
        <f>SUM(G2610:H2612)</f>
        <v>51.4</v>
      </c>
    </row>
    <row r="2614" spans="1:10">
      <c r="A2614" s="398"/>
      <c r="B2614" s="955" t="s">
        <v>537</v>
      </c>
      <c r="C2614" s="955"/>
      <c r="D2614" s="955"/>
      <c r="E2614" s="389"/>
      <c r="F2614" s="409"/>
      <c r="G2614" s="410"/>
      <c r="H2614" s="249">
        <f>SUM(G2608:H2609)</f>
        <v>6.48</v>
      </c>
    </row>
    <row r="2615" spans="1:10">
      <c r="A2615" s="398"/>
      <c r="B2615" s="955" t="s">
        <v>1937</v>
      </c>
      <c r="C2615" s="955"/>
      <c r="D2615" s="955"/>
      <c r="E2615" s="389"/>
      <c r="F2615" s="409"/>
      <c r="G2615" s="410"/>
      <c r="H2615" s="249">
        <f>SUM(H2613:H2614)</f>
        <v>57.879999999999995</v>
      </c>
    </row>
    <row r="2616" spans="1:10">
      <c r="A2616" s="398"/>
      <c r="B2616" s="955" t="s">
        <v>538</v>
      </c>
      <c r="C2616" s="955"/>
      <c r="D2616" s="955"/>
      <c r="E2616" s="389"/>
      <c r="F2616" s="411" t="s">
        <v>539</v>
      </c>
      <c r="G2616" s="410"/>
      <c r="H2616" s="249">
        <f>ROUND(H2615*F2616,2)</f>
        <v>14.45</v>
      </c>
    </row>
    <row r="2617" spans="1:10">
      <c r="A2617" s="398"/>
      <c r="B2617" s="956" t="s">
        <v>540</v>
      </c>
      <c r="C2617" s="956"/>
      <c r="D2617" s="956"/>
      <c r="E2617" s="740"/>
      <c r="F2617" s="768"/>
      <c r="G2617" s="769"/>
      <c r="H2617" s="770">
        <f>SUM(H2615:H2616)</f>
        <v>72.33</v>
      </c>
    </row>
    <row r="2618" spans="1:10" s="579" customFormat="1">
      <c r="A2618" s="601"/>
      <c r="B2618" s="780"/>
      <c r="C2618" s="780"/>
      <c r="D2618" s="780"/>
      <c r="E2618" s="740"/>
      <c r="F2618" s="768"/>
      <c r="G2618" s="769"/>
      <c r="H2618" s="770"/>
      <c r="I2618" s="400"/>
      <c r="J2618" s="404"/>
    </row>
    <row r="2619" spans="1:10">
      <c r="A2619" s="403" t="s">
        <v>2511</v>
      </c>
      <c r="B2619" s="961" t="s">
        <v>826</v>
      </c>
      <c r="C2619" s="961"/>
      <c r="D2619" s="961"/>
      <c r="E2619" s="961"/>
      <c r="F2619" s="961"/>
      <c r="G2619" s="402"/>
      <c r="H2619" s="403" t="s">
        <v>88</v>
      </c>
    </row>
    <row r="2620" spans="1:10" s="406" customFormat="1" ht="15">
      <c r="A2620" s="398"/>
      <c r="B2620" s="230" t="s">
        <v>827</v>
      </c>
      <c r="C2620" s="231" t="s">
        <v>14</v>
      </c>
      <c r="D2620" s="401">
        <v>1</v>
      </c>
      <c r="E2620" s="959">
        <f>Insumos!C719</f>
        <v>103.10299999999999</v>
      </c>
      <c r="F2620" s="959"/>
      <c r="G2620" s="958">
        <f>ROUND(D2620*E2620,2)</f>
        <v>103.1</v>
      </c>
      <c r="H2620" s="958"/>
      <c r="I2620" s="407"/>
      <c r="J2620" s="408"/>
    </row>
    <row r="2621" spans="1:10">
      <c r="A2621" s="398"/>
      <c r="B2621" s="230" t="s">
        <v>746</v>
      </c>
      <c r="C2621" s="231" t="s">
        <v>492</v>
      </c>
      <c r="D2621" s="401">
        <v>5.2900000000000003E-2</v>
      </c>
      <c r="E2621" s="959">
        <f>Insumos!C720</f>
        <v>25.898600000000002</v>
      </c>
      <c r="F2621" s="959"/>
      <c r="G2621" s="958">
        <f>ROUND(D2621*E2621,2)</f>
        <v>1.37</v>
      </c>
      <c r="H2621" s="958"/>
    </row>
    <row r="2622" spans="1:10">
      <c r="A2622" s="398"/>
      <c r="B2622" s="230" t="s">
        <v>747</v>
      </c>
      <c r="C2622" s="231" t="s">
        <v>14</v>
      </c>
      <c r="D2622" s="401">
        <v>0.02</v>
      </c>
      <c r="E2622" s="959">
        <f>Insumos!C721</f>
        <v>30.676100000000002</v>
      </c>
      <c r="F2622" s="959"/>
      <c r="G2622" s="958">
        <f>ROUND(D2622*E2622,2)</f>
        <v>0.61</v>
      </c>
      <c r="H2622" s="958"/>
    </row>
    <row r="2623" spans="1:10">
      <c r="A2623" s="398"/>
      <c r="B2623" s="230" t="s">
        <v>509</v>
      </c>
      <c r="C2623" s="231" t="s">
        <v>112</v>
      </c>
      <c r="D2623" s="401">
        <v>0.495</v>
      </c>
      <c r="E2623" s="959">
        <f>Insumos!C722</f>
        <v>6.4064000000000005</v>
      </c>
      <c r="F2623" s="959"/>
      <c r="G2623" s="958">
        <f>ROUND(D2623*E2623,2)</f>
        <v>3.17</v>
      </c>
      <c r="H2623" s="958"/>
    </row>
    <row r="2624" spans="1:10">
      <c r="A2624" s="398"/>
      <c r="B2624" s="230" t="s">
        <v>517</v>
      </c>
      <c r="C2624" s="231" t="s">
        <v>112</v>
      </c>
      <c r="D2624" s="401">
        <v>0.5</v>
      </c>
      <c r="E2624" s="959">
        <f>Insumos!C723</f>
        <v>8.6722999999999999</v>
      </c>
      <c r="F2624" s="959"/>
      <c r="G2624" s="958">
        <f>ROUND(D2624*E2624,2)</f>
        <v>4.34</v>
      </c>
      <c r="H2624" s="958"/>
    </row>
    <row r="2625" spans="1:10">
      <c r="A2625" s="398"/>
      <c r="B2625" s="955" t="s">
        <v>536</v>
      </c>
      <c r="C2625" s="955"/>
      <c r="D2625" s="955"/>
      <c r="E2625" s="389"/>
      <c r="F2625" s="409"/>
      <c r="G2625" s="410"/>
      <c r="H2625" s="249">
        <f>SUM(G2620:H2622)</f>
        <v>105.08</v>
      </c>
    </row>
    <row r="2626" spans="1:10">
      <c r="A2626" s="398"/>
      <c r="B2626" s="955" t="s">
        <v>537</v>
      </c>
      <c r="C2626" s="955"/>
      <c r="D2626" s="955"/>
      <c r="E2626" s="389"/>
      <c r="F2626" s="409"/>
      <c r="G2626" s="410"/>
      <c r="H2626" s="249">
        <f>SUM(G2623:H2624)</f>
        <v>7.51</v>
      </c>
    </row>
    <row r="2627" spans="1:10">
      <c r="A2627" s="398"/>
      <c r="B2627" s="955" t="s">
        <v>1937</v>
      </c>
      <c r="C2627" s="955"/>
      <c r="D2627" s="955"/>
      <c r="E2627" s="389"/>
      <c r="F2627" s="409"/>
      <c r="G2627" s="410"/>
      <c r="H2627" s="249">
        <f>SUM(H2625:H2626)</f>
        <v>112.59</v>
      </c>
    </row>
    <row r="2628" spans="1:10">
      <c r="A2628" s="398"/>
      <c r="B2628" s="955" t="s">
        <v>538</v>
      </c>
      <c r="C2628" s="955"/>
      <c r="D2628" s="955"/>
      <c r="E2628" s="389"/>
      <c r="F2628" s="411" t="s">
        <v>539</v>
      </c>
      <c r="G2628" s="410"/>
      <c r="H2628" s="249">
        <f>ROUND(H2627*F2628,2)</f>
        <v>28.1</v>
      </c>
    </row>
    <row r="2629" spans="1:10">
      <c r="A2629" s="398"/>
      <c r="B2629" s="956" t="s">
        <v>540</v>
      </c>
      <c r="C2629" s="956"/>
      <c r="D2629" s="956"/>
      <c r="E2629" s="740"/>
      <c r="F2629" s="768"/>
      <c r="G2629" s="769"/>
      <c r="H2629" s="770">
        <f>SUM(H2627:H2628)</f>
        <v>140.69</v>
      </c>
    </row>
    <row r="2630" spans="1:10" s="579" customFormat="1">
      <c r="A2630" s="601"/>
      <c r="B2630" s="780"/>
      <c r="C2630" s="780"/>
      <c r="D2630" s="780"/>
      <c r="E2630" s="740"/>
      <c r="F2630" s="768"/>
      <c r="G2630" s="769"/>
      <c r="H2630" s="770"/>
      <c r="I2630" s="400"/>
      <c r="J2630" s="404"/>
    </row>
    <row r="2631" spans="1:10">
      <c r="A2631" s="403" t="s">
        <v>2512</v>
      </c>
      <c r="B2631" s="961" t="s">
        <v>828</v>
      </c>
      <c r="C2631" s="961"/>
      <c r="D2631" s="961"/>
      <c r="E2631" s="961"/>
      <c r="F2631" s="961"/>
      <c r="G2631" s="402"/>
      <c r="H2631" s="403" t="s">
        <v>88</v>
      </c>
    </row>
    <row r="2632" spans="1:10" s="406" customFormat="1" ht="15">
      <c r="A2632" s="398"/>
      <c r="B2632" s="230" t="s">
        <v>829</v>
      </c>
      <c r="C2632" s="231" t="s">
        <v>14</v>
      </c>
      <c r="D2632" s="401">
        <v>0.99500000000000011</v>
      </c>
      <c r="E2632" s="964">
        <f>Insumos!C724</f>
        <v>3.6673000000000004</v>
      </c>
      <c r="F2632" s="964"/>
      <c r="G2632" s="958">
        <f>ROUND(D2632*E2632,2)</f>
        <v>3.65</v>
      </c>
      <c r="H2632" s="958"/>
      <c r="I2632" s="407"/>
      <c r="J2632" s="408"/>
    </row>
    <row r="2633" spans="1:10">
      <c r="A2633" s="398"/>
      <c r="B2633" s="230" t="s">
        <v>746</v>
      </c>
      <c r="C2633" s="231" t="s">
        <v>492</v>
      </c>
      <c r="D2633" s="401">
        <v>1.18E-2</v>
      </c>
      <c r="E2633" s="964">
        <f>Insumos!C725</f>
        <v>25.898600000000002</v>
      </c>
      <c r="F2633" s="964"/>
      <c r="G2633" s="958">
        <f>ROUND(D2633*E2633,2)</f>
        <v>0.31</v>
      </c>
      <c r="H2633" s="958"/>
    </row>
    <row r="2634" spans="1:10">
      <c r="A2634" s="398"/>
      <c r="B2634" s="230" t="s">
        <v>747</v>
      </c>
      <c r="C2634" s="231" t="s">
        <v>14</v>
      </c>
      <c r="D2634" s="401">
        <v>4.0000000000000001E-3</v>
      </c>
      <c r="E2634" s="964">
        <f>Insumos!C726</f>
        <v>30.676100000000002</v>
      </c>
      <c r="F2634" s="964"/>
      <c r="G2634" s="958">
        <f>ROUND(D2634*E2634,2)</f>
        <v>0.12</v>
      </c>
      <c r="H2634" s="958"/>
    </row>
    <row r="2635" spans="1:10">
      <c r="A2635" s="398"/>
      <c r="B2635" s="230" t="s">
        <v>517</v>
      </c>
      <c r="C2635" s="231" t="s">
        <v>112</v>
      </c>
      <c r="D2635" s="401">
        <v>0.2</v>
      </c>
      <c r="E2635" s="964">
        <f>Insumos!C727</f>
        <v>8.6722999999999999</v>
      </c>
      <c r="F2635" s="964"/>
      <c r="G2635" s="958">
        <f>ROUND(D2635*E2635,2)</f>
        <v>1.73</v>
      </c>
      <c r="H2635" s="958"/>
    </row>
    <row r="2636" spans="1:10">
      <c r="A2636" s="398"/>
      <c r="B2636" s="230" t="s">
        <v>775</v>
      </c>
      <c r="C2636" s="231" t="s">
        <v>112</v>
      </c>
      <c r="D2636" s="401">
        <v>0.2</v>
      </c>
      <c r="E2636" s="964">
        <f>Insumos!C728</f>
        <v>6.4064000000000005</v>
      </c>
      <c r="F2636" s="964"/>
      <c r="G2636" s="958">
        <f>ROUND(D2636*E2636,2)</f>
        <v>1.28</v>
      </c>
      <c r="H2636" s="958"/>
    </row>
    <row r="2637" spans="1:10">
      <c r="A2637" s="398"/>
      <c r="B2637" s="955" t="s">
        <v>536</v>
      </c>
      <c r="C2637" s="955"/>
      <c r="D2637" s="955"/>
      <c r="E2637" s="389"/>
      <c r="F2637" s="409"/>
      <c r="G2637" s="410"/>
      <c r="H2637" s="249">
        <f>SUM(G2632:H2634)</f>
        <v>4.08</v>
      </c>
    </row>
    <row r="2638" spans="1:10">
      <c r="A2638" s="398"/>
      <c r="B2638" s="955" t="s">
        <v>537</v>
      </c>
      <c r="C2638" s="955"/>
      <c r="D2638" s="955"/>
      <c r="E2638" s="389"/>
      <c r="F2638" s="409"/>
      <c r="G2638" s="410"/>
      <c r="H2638" s="249">
        <f>SUM(G2635:H2636)</f>
        <v>3.01</v>
      </c>
    </row>
    <row r="2639" spans="1:10">
      <c r="A2639" s="398"/>
      <c r="B2639" s="955" t="s">
        <v>1937</v>
      </c>
      <c r="C2639" s="955"/>
      <c r="D2639" s="955"/>
      <c r="E2639" s="389"/>
      <c r="F2639" s="409"/>
      <c r="G2639" s="410"/>
      <c r="H2639" s="249">
        <f>SUM(H2637:H2638)</f>
        <v>7.09</v>
      </c>
    </row>
    <row r="2640" spans="1:10">
      <c r="A2640" s="398"/>
      <c r="B2640" s="955" t="s">
        <v>538</v>
      </c>
      <c r="C2640" s="955"/>
      <c r="D2640" s="955"/>
      <c r="E2640" s="389"/>
      <c r="F2640" s="411" t="s">
        <v>539</v>
      </c>
      <c r="G2640" s="410"/>
      <c r="H2640" s="249">
        <f>ROUND(H2639*F2640,2)</f>
        <v>1.77</v>
      </c>
    </row>
    <row r="2641" spans="1:10">
      <c r="A2641" s="398"/>
      <c r="B2641" s="956" t="s">
        <v>540</v>
      </c>
      <c r="C2641" s="956"/>
      <c r="D2641" s="956"/>
      <c r="E2641" s="740"/>
      <c r="F2641" s="768"/>
      <c r="G2641" s="769"/>
      <c r="H2641" s="770">
        <f>SUM(H2639:H2640)</f>
        <v>8.86</v>
      </c>
    </row>
    <row r="2642" spans="1:10" s="579" customFormat="1">
      <c r="A2642" s="601"/>
      <c r="B2642" s="780"/>
      <c r="C2642" s="780"/>
      <c r="D2642" s="780"/>
      <c r="E2642" s="740"/>
      <c r="F2642" s="768"/>
      <c r="G2642" s="769"/>
      <c r="H2642" s="770"/>
      <c r="I2642" s="400"/>
      <c r="J2642" s="404"/>
    </row>
    <row r="2643" spans="1:10">
      <c r="A2643" s="403" t="s">
        <v>2513</v>
      </c>
      <c r="B2643" s="961" t="s">
        <v>830</v>
      </c>
      <c r="C2643" s="961"/>
      <c r="D2643" s="961"/>
      <c r="E2643" s="961"/>
      <c r="F2643" s="961"/>
      <c r="G2643" s="402"/>
      <c r="H2643" s="403" t="s">
        <v>88</v>
      </c>
    </row>
    <row r="2644" spans="1:10" s="406" customFormat="1" ht="15">
      <c r="A2644" s="398"/>
      <c r="B2644" s="230" t="s">
        <v>831</v>
      </c>
      <c r="C2644" s="231" t="s">
        <v>14</v>
      </c>
      <c r="D2644" s="401">
        <v>0.99666666666666692</v>
      </c>
      <c r="E2644" s="959">
        <f>Insumos!C729</f>
        <v>5.0960000000000001</v>
      </c>
      <c r="F2644" s="959"/>
      <c r="G2644" s="958">
        <f>ROUND(D2644*E2644,2)</f>
        <v>5.08</v>
      </c>
      <c r="H2644" s="958"/>
      <c r="I2644" s="407"/>
      <c r="J2644" s="408"/>
    </row>
    <row r="2645" spans="1:10">
      <c r="A2645" s="398"/>
      <c r="B2645" s="230" t="s">
        <v>746</v>
      </c>
      <c r="C2645" s="231" t="s">
        <v>492</v>
      </c>
      <c r="D2645" s="401">
        <v>1.4500000000000001E-2</v>
      </c>
      <c r="E2645" s="959">
        <f>Insumos!C730</f>
        <v>25.898600000000002</v>
      </c>
      <c r="F2645" s="959"/>
      <c r="G2645" s="958">
        <f>ROUND(D2645*E2645,2)</f>
        <v>0.38</v>
      </c>
      <c r="H2645" s="958"/>
    </row>
    <row r="2646" spans="1:10">
      <c r="A2646" s="398"/>
      <c r="B2646" s="230" t="s">
        <v>747</v>
      </c>
      <c r="C2646" s="231" t="s">
        <v>14</v>
      </c>
      <c r="D2646" s="401">
        <v>4.4999999999999997E-3</v>
      </c>
      <c r="E2646" s="959">
        <f>Insumos!C731</f>
        <v>30.676100000000002</v>
      </c>
      <c r="F2646" s="959"/>
      <c r="G2646" s="958">
        <f>ROUND(D2646*E2646,2)</f>
        <v>0.14000000000000001</v>
      </c>
      <c r="H2646" s="958"/>
    </row>
    <row r="2647" spans="1:10">
      <c r="A2647" s="398"/>
      <c r="B2647" s="230" t="s">
        <v>517</v>
      </c>
      <c r="C2647" s="231" t="s">
        <v>112</v>
      </c>
      <c r="D2647" s="401">
        <v>0.2</v>
      </c>
      <c r="E2647" s="959">
        <f>Insumos!C732</f>
        <v>8.6722999999999999</v>
      </c>
      <c r="F2647" s="959"/>
      <c r="G2647" s="958">
        <f>ROUND(D2647*E2647,2)</f>
        <v>1.73</v>
      </c>
      <c r="H2647" s="958"/>
    </row>
    <row r="2648" spans="1:10">
      <c r="A2648" s="398"/>
      <c r="B2648" s="230" t="s">
        <v>775</v>
      </c>
      <c r="C2648" s="231" t="s">
        <v>112</v>
      </c>
      <c r="D2648" s="401">
        <v>0.2</v>
      </c>
      <c r="E2648" s="959">
        <f>Insumos!C733</f>
        <v>6.4064000000000005</v>
      </c>
      <c r="F2648" s="959"/>
      <c r="G2648" s="958">
        <f>ROUND(D2648*E2648,2)</f>
        <v>1.28</v>
      </c>
      <c r="H2648" s="958"/>
    </row>
    <row r="2649" spans="1:10">
      <c r="A2649" s="398"/>
      <c r="B2649" s="955" t="s">
        <v>536</v>
      </c>
      <c r="C2649" s="955"/>
      <c r="D2649" s="955"/>
      <c r="E2649" s="389"/>
      <c r="F2649" s="409"/>
      <c r="G2649" s="410"/>
      <c r="H2649" s="249">
        <f>SUM(G2644:H2646)</f>
        <v>5.6</v>
      </c>
    </row>
    <row r="2650" spans="1:10">
      <c r="A2650" s="398"/>
      <c r="B2650" s="955" t="s">
        <v>537</v>
      </c>
      <c r="C2650" s="955"/>
      <c r="D2650" s="955"/>
      <c r="E2650" s="389"/>
      <c r="F2650" s="409"/>
      <c r="G2650" s="410"/>
      <c r="H2650" s="249">
        <f>SUM(G2647:H2648)</f>
        <v>3.01</v>
      </c>
    </row>
    <row r="2651" spans="1:10">
      <c r="A2651" s="398"/>
      <c r="B2651" s="955" t="s">
        <v>1937</v>
      </c>
      <c r="C2651" s="955"/>
      <c r="D2651" s="955"/>
      <c r="E2651" s="389"/>
      <c r="F2651" s="409"/>
      <c r="G2651" s="410"/>
      <c r="H2651" s="249">
        <f>SUM(H2649:H2650)</f>
        <v>8.61</v>
      </c>
    </row>
    <row r="2652" spans="1:10">
      <c r="A2652" s="398"/>
      <c r="B2652" s="955" t="s">
        <v>538</v>
      </c>
      <c r="C2652" s="955"/>
      <c r="D2652" s="955"/>
      <c r="E2652" s="389"/>
      <c r="F2652" s="411" t="s">
        <v>539</v>
      </c>
      <c r="G2652" s="410"/>
      <c r="H2652" s="249">
        <f>ROUND(H2651*F2652,2)</f>
        <v>2.15</v>
      </c>
    </row>
    <row r="2653" spans="1:10">
      <c r="A2653" s="398"/>
      <c r="B2653" s="956" t="s">
        <v>540</v>
      </c>
      <c r="C2653" s="956"/>
      <c r="D2653" s="956"/>
      <c r="E2653" s="740"/>
      <c r="F2653" s="768"/>
      <c r="G2653" s="769"/>
      <c r="H2653" s="770">
        <f>SUM(H2651:H2652)</f>
        <v>10.76</v>
      </c>
    </row>
    <row r="2654" spans="1:10" s="579" customFormat="1">
      <c r="A2654" s="601"/>
      <c r="B2654" s="780"/>
      <c r="C2654" s="780"/>
      <c r="D2654" s="780"/>
      <c r="E2654" s="740"/>
      <c r="F2654" s="768"/>
      <c r="G2654" s="769"/>
      <c r="H2654" s="770"/>
      <c r="I2654" s="400"/>
      <c r="J2654" s="404"/>
    </row>
    <row r="2655" spans="1:10">
      <c r="A2655" s="403" t="s">
        <v>2514</v>
      </c>
      <c r="B2655" s="961" t="s">
        <v>832</v>
      </c>
      <c r="C2655" s="961"/>
      <c r="D2655" s="961"/>
      <c r="E2655" s="961"/>
      <c r="F2655" s="961"/>
      <c r="G2655" s="402"/>
      <c r="H2655" s="403" t="s">
        <v>88</v>
      </c>
    </row>
    <row r="2656" spans="1:10" s="406" customFormat="1" ht="15">
      <c r="A2656" s="398"/>
      <c r="B2656" s="230" t="s">
        <v>833</v>
      </c>
      <c r="C2656" s="231" t="s">
        <v>14</v>
      </c>
      <c r="D2656" s="436">
        <v>0.99857142857142855</v>
      </c>
      <c r="E2656" s="959">
        <f>Insumos!C734</f>
        <v>5.8058000000000005</v>
      </c>
      <c r="F2656" s="959"/>
      <c r="G2656" s="958">
        <f>ROUND(D2656*E2656,2)</f>
        <v>5.8</v>
      </c>
      <c r="H2656" s="958"/>
      <c r="I2656" s="407"/>
      <c r="J2656" s="408"/>
    </row>
    <row r="2657" spans="1:10">
      <c r="A2657" s="398"/>
      <c r="B2657" s="230" t="s">
        <v>746</v>
      </c>
      <c r="C2657" s="231" t="s">
        <v>492</v>
      </c>
      <c r="D2657" s="436">
        <v>2.3E-2</v>
      </c>
      <c r="E2657" s="959">
        <f>Insumos!C735</f>
        <v>25.898600000000002</v>
      </c>
      <c r="F2657" s="959"/>
      <c r="G2657" s="958">
        <f>ROUND(D2657*E2657,2)</f>
        <v>0.6</v>
      </c>
      <c r="H2657" s="958"/>
    </row>
    <row r="2658" spans="1:10">
      <c r="A2658" s="398"/>
      <c r="B2658" s="230" t="s">
        <v>747</v>
      </c>
      <c r="C2658" s="231" t="s">
        <v>14</v>
      </c>
      <c r="D2658" s="436">
        <v>8.0000000000000002E-3</v>
      </c>
      <c r="E2658" s="959">
        <f>Insumos!C736</f>
        <v>30.676100000000002</v>
      </c>
      <c r="F2658" s="959"/>
      <c r="G2658" s="958">
        <f>ROUND(D2658*E2658,2)</f>
        <v>0.25</v>
      </c>
      <c r="H2658" s="958"/>
    </row>
    <row r="2659" spans="1:10">
      <c r="A2659" s="398"/>
      <c r="B2659" s="230" t="s">
        <v>517</v>
      </c>
      <c r="C2659" s="231" t="s">
        <v>112</v>
      </c>
      <c r="D2659" s="436">
        <v>0.27906666666666657</v>
      </c>
      <c r="E2659" s="959">
        <f>Insumos!C737</f>
        <v>8.6722999999999999</v>
      </c>
      <c r="F2659" s="959"/>
      <c r="G2659" s="958">
        <f>ROUND(D2659*E2659,2)</f>
        <v>2.42</v>
      </c>
      <c r="H2659" s="958"/>
    </row>
    <row r="2660" spans="1:10">
      <c r="A2660" s="398"/>
      <c r="B2660" s="230" t="s">
        <v>775</v>
      </c>
      <c r="C2660" s="231" t="s">
        <v>112</v>
      </c>
      <c r="D2660" s="436">
        <v>0.28000000000000003</v>
      </c>
      <c r="E2660" s="959">
        <f>Insumos!C738</f>
        <v>6.4064000000000005</v>
      </c>
      <c r="F2660" s="959"/>
      <c r="G2660" s="958">
        <f>ROUND(D2660*E2660,2)</f>
        <v>1.79</v>
      </c>
      <c r="H2660" s="958"/>
    </row>
    <row r="2661" spans="1:10">
      <c r="A2661" s="398"/>
      <c r="B2661" s="955" t="s">
        <v>536</v>
      </c>
      <c r="C2661" s="955"/>
      <c r="D2661" s="955"/>
      <c r="E2661" s="389"/>
      <c r="F2661" s="409"/>
      <c r="G2661" s="410"/>
      <c r="H2661" s="249">
        <f>SUM(G2656:H2658)</f>
        <v>6.6499999999999995</v>
      </c>
    </row>
    <row r="2662" spans="1:10">
      <c r="A2662" s="398"/>
      <c r="B2662" s="955" t="s">
        <v>537</v>
      </c>
      <c r="C2662" s="955"/>
      <c r="D2662" s="955"/>
      <c r="E2662" s="389"/>
      <c r="F2662" s="409"/>
      <c r="G2662" s="410"/>
      <c r="H2662" s="249">
        <f>SUM(G2659:H2660)</f>
        <v>4.21</v>
      </c>
    </row>
    <row r="2663" spans="1:10">
      <c r="A2663" s="398"/>
      <c r="B2663" s="955" t="s">
        <v>1937</v>
      </c>
      <c r="C2663" s="955"/>
      <c r="D2663" s="955"/>
      <c r="E2663" s="389"/>
      <c r="F2663" s="409"/>
      <c r="G2663" s="410"/>
      <c r="H2663" s="249">
        <f>SUM(H2661:H2662)</f>
        <v>10.86</v>
      </c>
    </row>
    <row r="2664" spans="1:10">
      <c r="A2664" s="398"/>
      <c r="B2664" s="955" t="s">
        <v>538</v>
      </c>
      <c r="C2664" s="955"/>
      <c r="D2664" s="955"/>
      <c r="E2664" s="389"/>
      <c r="F2664" s="411" t="s">
        <v>539</v>
      </c>
      <c r="G2664" s="410"/>
      <c r="H2664" s="249">
        <f>ROUND(H2663*F2664,2)</f>
        <v>2.71</v>
      </c>
    </row>
    <row r="2665" spans="1:10">
      <c r="A2665" s="398"/>
      <c r="B2665" s="956" t="s">
        <v>540</v>
      </c>
      <c r="C2665" s="956"/>
      <c r="D2665" s="956"/>
      <c r="E2665" s="740"/>
      <c r="F2665" s="768"/>
      <c r="G2665" s="769"/>
      <c r="H2665" s="770">
        <f>SUM(H2663:H2664)</f>
        <v>13.57</v>
      </c>
    </row>
    <row r="2666" spans="1:10" s="579" customFormat="1">
      <c r="A2666" s="601"/>
      <c r="B2666" s="780"/>
      <c r="C2666" s="780"/>
      <c r="D2666" s="780"/>
      <c r="E2666" s="740"/>
      <c r="F2666" s="768"/>
      <c r="G2666" s="769"/>
      <c r="H2666" s="770"/>
      <c r="I2666" s="400"/>
      <c r="J2666" s="404"/>
    </row>
    <row r="2667" spans="1:10">
      <c r="A2667" s="403" t="s">
        <v>2515</v>
      </c>
      <c r="B2667" s="961" t="s">
        <v>834</v>
      </c>
      <c r="C2667" s="961"/>
      <c r="D2667" s="961"/>
      <c r="E2667" s="961"/>
      <c r="F2667" s="961"/>
      <c r="G2667" s="402"/>
      <c r="H2667" s="403" t="s">
        <v>88</v>
      </c>
    </row>
    <row r="2668" spans="1:10" s="406" customFormat="1" ht="15">
      <c r="A2668" s="398"/>
      <c r="B2668" s="230" t="s">
        <v>835</v>
      </c>
      <c r="C2668" s="231" t="s">
        <v>14</v>
      </c>
      <c r="D2668" s="401">
        <v>0.99500000000000022</v>
      </c>
      <c r="E2668" s="959">
        <f>Insumos!C739</f>
        <v>9.0909000000000013</v>
      </c>
      <c r="F2668" s="959"/>
      <c r="G2668" s="958">
        <f>ROUND(D2668*E2668,2)</f>
        <v>9.0500000000000007</v>
      </c>
      <c r="H2668" s="958"/>
      <c r="I2668" s="407"/>
      <c r="J2668" s="408"/>
    </row>
    <row r="2669" spans="1:10">
      <c r="A2669" s="398"/>
      <c r="B2669" s="230" t="s">
        <v>746</v>
      </c>
      <c r="C2669" s="231" t="s">
        <v>492</v>
      </c>
      <c r="D2669" s="401">
        <v>2.5479999999999916E-2</v>
      </c>
      <c r="E2669" s="959">
        <f>Insumos!C740</f>
        <v>25.898600000000002</v>
      </c>
      <c r="F2669" s="959"/>
      <c r="G2669" s="958">
        <f>ROUND(D2669*E2669,2)</f>
        <v>0.66</v>
      </c>
      <c r="H2669" s="958"/>
    </row>
    <row r="2670" spans="1:10">
      <c r="A2670" s="398"/>
      <c r="B2670" s="230" t="s">
        <v>747</v>
      </c>
      <c r="C2670" s="231" t="s">
        <v>14</v>
      </c>
      <c r="D2670" s="401">
        <v>8.9999999999999993E-3</v>
      </c>
      <c r="E2670" s="959">
        <f>Insumos!C741</f>
        <v>30.676100000000002</v>
      </c>
      <c r="F2670" s="959"/>
      <c r="G2670" s="958">
        <f>ROUND(D2670*E2670,2)</f>
        <v>0.28000000000000003</v>
      </c>
      <c r="H2670" s="958"/>
    </row>
    <row r="2671" spans="1:10">
      <c r="A2671" s="398"/>
      <c r="B2671" s="230" t="s">
        <v>517</v>
      </c>
      <c r="C2671" s="231" t="s">
        <v>112</v>
      </c>
      <c r="D2671" s="401">
        <v>0.28999999999999998</v>
      </c>
      <c r="E2671" s="959">
        <f>Insumos!C742</f>
        <v>8.6722999999999999</v>
      </c>
      <c r="F2671" s="959"/>
      <c r="G2671" s="958">
        <f>ROUND(D2671*E2671,2)</f>
        <v>2.5099999999999998</v>
      </c>
      <c r="H2671" s="958"/>
    </row>
    <row r="2672" spans="1:10">
      <c r="A2672" s="398"/>
      <c r="B2672" s="230" t="s">
        <v>775</v>
      </c>
      <c r="C2672" s="231" t="s">
        <v>112</v>
      </c>
      <c r="D2672" s="401">
        <v>0.28999999999999998</v>
      </c>
      <c r="E2672" s="959">
        <f>Insumos!C743</f>
        <v>6.4064000000000005</v>
      </c>
      <c r="F2672" s="959"/>
      <c r="G2672" s="958">
        <f>ROUND(D2672*E2672,2)</f>
        <v>1.86</v>
      </c>
      <c r="H2672" s="958"/>
    </row>
    <row r="2673" spans="1:10">
      <c r="A2673" s="398"/>
      <c r="B2673" s="955" t="s">
        <v>536</v>
      </c>
      <c r="C2673" s="955"/>
      <c r="D2673" s="955"/>
      <c r="E2673" s="389"/>
      <c r="F2673" s="409"/>
      <c r="G2673" s="410"/>
      <c r="H2673" s="249">
        <f>SUM(G2668:H2670)</f>
        <v>9.99</v>
      </c>
    </row>
    <row r="2674" spans="1:10">
      <c r="A2674" s="398"/>
      <c r="B2674" s="955" t="s">
        <v>537</v>
      </c>
      <c r="C2674" s="955"/>
      <c r="D2674" s="955"/>
      <c r="E2674" s="389"/>
      <c r="F2674" s="409"/>
      <c r="G2674" s="410"/>
      <c r="H2674" s="249">
        <f>SUM(G2671:H2672)</f>
        <v>4.37</v>
      </c>
    </row>
    <row r="2675" spans="1:10">
      <c r="A2675" s="398"/>
      <c r="B2675" s="955" t="s">
        <v>1937</v>
      </c>
      <c r="C2675" s="955"/>
      <c r="D2675" s="955"/>
      <c r="E2675" s="389"/>
      <c r="F2675" s="409"/>
      <c r="G2675" s="410"/>
      <c r="H2675" s="249">
        <f>SUM(H2673:H2674)</f>
        <v>14.36</v>
      </c>
    </row>
    <row r="2676" spans="1:10">
      <c r="A2676" s="398"/>
      <c r="B2676" s="955" t="s">
        <v>538</v>
      </c>
      <c r="C2676" s="955"/>
      <c r="D2676" s="955"/>
      <c r="E2676" s="389"/>
      <c r="F2676" s="411" t="s">
        <v>539</v>
      </c>
      <c r="G2676" s="410"/>
      <c r="H2676" s="249">
        <f>ROUND(H2675*F2676,2)</f>
        <v>3.58</v>
      </c>
    </row>
    <row r="2677" spans="1:10">
      <c r="A2677" s="398"/>
      <c r="B2677" s="956" t="s">
        <v>540</v>
      </c>
      <c r="C2677" s="956"/>
      <c r="D2677" s="956"/>
      <c r="E2677" s="740"/>
      <c r="F2677" s="768"/>
      <c r="G2677" s="769"/>
      <c r="H2677" s="770">
        <f>SUM(H2675:H2676)</f>
        <v>17.939999999999998</v>
      </c>
    </row>
    <row r="2678" spans="1:10" s="579" customFormat="1">
      <c r="A2678" s="601"/>
      <c r="B2678" s="780"/>
      <c r="C2678" s="780"/>
      <c r="D2678" s="780"/>
      <c r="E2678" s="740"/>
      <c r="F2678" s="768"/>
      <c r="G2678" s="769"/>
      <c r="H2678" s="770"/>
      <c r="I2678" s="400"/>
      <c r="J2678" s="404"/>
    </row>
    <row r="2679" spans="1:10">
      <c r="A2679" s="403" t="s">
        <v>2516</v>
      </c>
      <c r="B2679" s="961" t="s">
        <v>836</v>
      </c>
      <c r="C2679" s="961"/>
      <c r="D2679" s="961"/>
      <c r="E2679" s="961"/>
      <c r="F2679" s="961"/>
      <c r="G2679" s="402"/>
      <c r="H2679" s="403" t="s">
        <v>88</v>
      </c>
    </row>
    <row r="2680" spans="1:10" s="406" customFormat="1" ht="15">
      <c r="A2680" s="398"/>
      <c r="B2680" s="230" t="s">
        <v>837</v>
      </c>
      <c r="C2680" s="231" t="s">
        <v>14</v>
      </c>
      <c r="D2680" s="401">
        <v>1</v>
      </c>
      <c r="E2680" s="959">
        <f>Insumos!C744</f>
        <v>25.134200000000003</v>
      </c>
      <c r="F2680" s="959"/>
      <c r="G2680" s="958">
        <f>ROUND(D2680*E2680,2)</f>
        <v>25.13</v>
      </c>
      <c r="H2680" s="958"/>
      <c r="I2680" s="407"/>
      <c r="J2680" s="408"/>
    </row>
    <row r="2681" spans="1:10">
      <c r="A2681" s="398"/>
      <c r="B2681" s="230" t="s">
        <v>746</v>
      </c>
      <c r="C2681" s="231" t="s">
        <v>492</v>
      </c>
      <c r="D2681" s="401">
        <v>3.4000000000000002E-2</v>
      </c>
      <c r="E2681" s="959">
        <f>Insumos!C745</f>
        <v>25.898600000000002</v>
      </c>
      <c r="F2681" s="959"/>
      <c r="G2681" s="958">
        <f>ROUND(D2681*E2681,2)</f>
        <v>0.88</v>
      </c>
      <c r="H2681" s="958"/>
    </row>
    <row r="2682" spans="1:10">
      <c r="A2682" s="398"/>
      <c r="B2682" s="230" t="s">
        <v>747</v>
      </c>
      <c r="C2682" s="231" t="s">
        <v>14</v>
      </c>
      <c r="D2682" s="401">
        <v>1.35E-2</v>
      </c>
      <c r="E2682" s="959">
        <f>Insumos!C746</f>
        <v>30.676100000000002</v>
      </c>
      <c r="F2682" s="959"/>
      <c r="G2682" s="958">
        <f>ROUND(D2682*E2682,2)</f>
        <v>0.41</v>
      </c>
      <c r="H2682" s="958"/>
    </row>
    <row r="2683" spans="1:10">
      <c r="A2683" s="398"/>
      <c r="B2683" s="230" t="s">
        <v>517</v>
      </c>
      <c r="C2683" s="231" t="s">
        <v>112</v>
      </c>
      <c r="D2683" s="401">
        <v>0.32029411764706223</v>
      </c>
      <c r="E2683" s="959">
        <f>Insumos!C747</f>
        <v>8.6722999999999999</v>
      </c>
      <c r="F2683" s="959"/>
      <c r="G2683" s="958">
        <f>ROUND(D2683*E2683,2)</f>
        <v>2.78</v>
      </c>
      <c r="H2683" s="958"/>
    </row>
    <row r="2684" spans="1:10">
      <c r="A2684" s="398"/>
      <c r="B2684" s="230" t="s">
        <v>516</v>
      </c>
      <c r="C2684" s="231" t="s">
        <v>112</v>
      </c>
      <c r="D2684" s="401">
        <v>0.35</v>
      </c>
      <c r="E2684" s="959">
        <f>Insumos!C748</f>
        <v>7.0798000000000005</v>
      </c>
      <c r="F2684" s="959"/>
      <c r="G2684" s="958">
        <f>ROUND(D2684*E2684,2)</f>
        <v>2.48</v>
      </c>
      <c r="H2684" s="958"/>
    </row>
    <row r="2685" spans="1:10">
      <c r="A2685" s="398"/>
      <c r="B2685" s="955" t="s">
        <v>536</v>
      </c>
      <c r="C2685" s="955"/>
      <c r="D2685" s="955"/>
      <c r="E2685" s="389"/>
      <c r="F2685" s="409"/>
      <c r="G2685" s="410"/>
      <c r="H2685" s="249">
        <f>SUM(G2680:H2682)</f>
        <v>26.419999999999998</v>
      </c>
    </row>
    <row r="2686" spans="1:10">
      <c r="A2686" s="398"/>
      <c r="B2686" s="955" t="s">
        <v>537</v>
      </c>
      <c r="C2686" s="955"/>
      <c r="D2686" s="955"/>
      <c r="E2686" s="389"/>
      <c r="F2686" s="409"/>
      <c r="G2686" s="410"/>
      <c r="H2686" s="249">
        <f>SUM(G2683:H2684)</f>
        <v>5.26</v>
      </c>
    </row>
    <row r="2687" spans="1:10">
      <c r="A2687" s="398"/>
      <c r="B2687" s="955" t="s">
        <v>1937</v>
      </c>
      <c r="C2687" s="955"/>
      <c r="D2687" s="955"/>
      <c r="E2687" s="389"/>
      <c r="F2687" s="409"/>
      <c r="G2687" s="410"/>
      <c r="H2687" s="249">
        <f>SUM(H2685:H2686)</f>
        <v>31.68</v>
      </c>
    </row>
    <row r="2688" spans="1:10">
      <c r="A2688" s="398"/>
      <c r="B2688" s="955" t="s">
        <v>538</v>
      </c>
      <c r="C2688" s="955"/>
      <c r="D2688" s="955"/>
      <c r="E2688" s="389"/>
      <c r="F2688" s="411" t="s">
        <v>539</v>
      </c>
      <c r="G2688" s="410"/>
      <c r="H2688" s="249">
        <f>ROUND(H2687*F2688,2)</f>
        <v>7.91</v>
      </c>
    </row>
    <row r="2689" spans="1:10">
      <c r="A2689" s="398"/>
      <c r="B2689" s="956" t="s">
        <v>540</v>
      </c>
      <c r="C2689" s="956"/>
      <c r="D2689" s="956"/>
      <c r="E2689" s="740"/>
      <c r="F2689" s="768"/>
      <c r="G2689" s="769"/>
      <c r="H2689" s="770">
        <f>SUM(H2687:H2688)</f>
        <v>39.590000000000003</v>
      </c>
    </row>
    <row r="2690" spans="1:10" s="579" customFormat="1">
      <c r="A2690" s="601"/>
      <c r="B2690" s="780"/>
      <c r="C2690" s="780"/>
      <c r="D2690" s="780"/>
      <c r="E2690" s="740"/>
      <c r="F2690" s="768"/>
      <c r="G2690" s="769"/>
      <c r="H2690" s="770"/>
      <c r="I2690" s="400"/>
      <c r="J2690" s="404"/>
    </row>
    <row r="2691" spans="1:10" ht="23.45" customHeight="1">
      <c r="A2691" s="403" t="s">
        <v>2517</v>
      </c>
      <c r="B2691" s="961" t="s">
        <v>1353</v>
      </c>
      <c r="C2691" s="961"/>
      <c r="D2691" s="961"/>
      <c r="E2691" s="961"/>
      <c r="F2691" s="961"/>
      <c r="G2691" s="402"/>
      <c r="H2691" s="403" t="s">
        <v>14</v>
      </c>
    </row>
    <row r="2692" spans="1:10" s="406" customFormat="1" ht="15">
      <c r="A2692" s="398"/>
      <c r="B2692" s="230" t="s">
        <v>1354</v>
      </c>
      <c r="C2692" s="231" t="s">
        <v>14</v>
      </c>
      <c r="D2692" s="401">
        <v>1</v>
      </c>
      <c r="E2692" s="959">
        <f>Insumos!C749</f>
        <v>7.1434999999999995</v>
      </c>
      <c r="F2692" s="959"/>
      <c r="G2692" s="958">
        <f>ROUND(D2692*E2692,2)</f>
        <v>7.14</v>
      </c>
      <c r="H2692" s="958"/>
      <c r="I2692" s="407"/>
      <c r="J2692" s="408"/>
    </row>
    <row r="2693" spans="1:10">
      <c r="A2693" s="398"/>
      <c r="B2693" s="230" t="s">
        <v>746</v>
      </c>
      <c r="C2693" s="231" t="s">
        <v>492</v>
      </c>
      <c r="D2693" s="401">
        <v>6.8000000000000005E-2</v>
      </c>
      <c r="E2693" s="959">
        <f>Insumos!C750</f>
        <v>25.898600000000002</v>
      </c>
      <c r="F2693" s="959"/>
      <c r="G2693" s="958">
        <f>ROUND(D2693*E2693,2)</f>
        <v>1.76</v>
      </c>
      <c r="H2693" s="958"/>
    </row>
    <row r="2694" spans="1:10">
      <c r="A2694" s="398"/>
      <c r="B2694" s="230" t="s">
        <v>747</v>
      </c>
      <c r="C2694" s="231" t="s">
        <v>14</v>
      </c>
      <c r="D2694" s="401">
        <v>6.5000000000000002E-2</v>
      </c>
      <c r="E2694" s="959">
        <f>Insumos!C751</f>
        <v>30.676100000000002</v>
      </c>
      <c r="F2694" s="959"/>
      <c r="G2694" s="958">
        <f>ROUND(D2694*E2694,2)</f>
        <v>1.99</v>
      </c>
      <c r="H2694" s="958"/>
    </row>
    <row r="2695" spans="1:10">
      <c r="A2695" s="398"/>
      <c r="B2695" s="230" t="s">
        <v>517</v>
      </c>
      <c r="C2695" s="231" t="s">
        <v>112</v>
      </c>
      <c r="D2695" s="401">
        <v>0.3</v>
      </c>
      <c r="E2695" s="959">
        <f>Insumos!C752</f>
        <v>8.6722999999999999</v>
      </c>
      <c r="F2695" s="959"/>
      <c r="G2695" s="958">
        <f>ROUND(D2695*E2695,2)</f>
        <v>2.6</v>
      </c>
      <c r="H2695" s="958"/>
    </row>
    <row r="2696" spans="1:10">
      <c r="A2696" s="398"/>
      <c r="B2696" s="230" t="s">
        <v>516</v>
      </c>
      <c r="C2696" s="231" t="s">
        <v>112</v>
      </c>
      <c r="D2696" s="401">
        <v>0.3</v>
      </c>
      <c r="E2696" s="959">
        <f>Insumos!C753</f>
        <v>7.0798000000000005</v>
      </c>
      <c r="F2696" s="959"/>
      <c r="G2696" s="958">
        <f>ROUND(D2696*E2696,2)</f>
        <v>2.12</v>
      </c>
      <c r="H2696" s="958"/>
    </row>
    <row r="2697" spans="1:10">
      <c r="A2697" s="398"/>
      <c r="B2697" s="955" t="s">
        <v>536</v>
      </c>
      <c r="C2697" s="955"/>
      <c r="D2697" s="955"/>
      <c r="E2697" s="389"/>
      <c r="F2697" s="409"/>
      <c r="G2697" s="410"/>
      <c r="H2697" s="249">
        <f>SUM(G2692:H2694)</f>
        <v>10.89</v>
      </c>
    </row>
    <row r="2698" spans="1:10">
      <c r="A2698" s="398"/>
      <c r="B2698" s="955" t="s">
        <v>537</v>
      </c>
      <c r="C2698" s="955"/>
      <c r="D2698" s="955"/>
      <c r="E2698" s="389"/>
      <c r="F2698" s="409"/>
      <c r="G2698" s="410"/>
      <c r="H2698" s="249">
        <f>SUM(G2695:H2696)</f>
        <v>4.7200000000000006</v>
      </c>
    </row>
    <row r="2699" spans="1:10">
      <c r="A2699" s="398"/>
      <c r="B2699" s="955" t="s">
        <v>1937</v>
      </c>
      <c r="C2699" s="955"/>
      <c r="D2699" s="955"/>
      <c r="E2699" s="389"/>
      <c r="F2699" s="409"/>
      <c r="G2699" s="410"/>
      <c r="H2699" s="249">
        <f>SUM(H2697:H2698)</f>
        <v>15.610000000000001</v>
      </c>
    </row>
    <row r="2700" spans="1:10">
      <c r="A2700" s="398"/>
      <c r="B2700" s="955" t="s">
        <v>538</v>
      </c>
      <c r="C2700" s="955"/>
      <c r="D2700" s="955"/>
      <c r="E2700" s="389"/>
      <c r="F2700" s="411" t="s">
        <v>539</v>
      </c>
      <c r="G2700" s="410"/>
      <c r="H2700" s="249">
        <f>ROUND(H2699*F2700,2)</f>
        <v>3.9</v>
      </c>
    </row>
    <row r="2701" spans="1:10">
      <c r="A2701" s="398"/>
      <c r="B2701" s="956" t="s">
        <v>540</v>
      </c>
      <c r="C2701" s="956"/>
      <c r="D2701" s="956"/>
      <c r="E2701" s="740"/>
      <c r="F2701" s="768"/>
      <c r="G2701" s="769"/>
      <c r="H2701" s="770">
        <f>SUM(H2699:H2700)</f>
        <v>19.510000000000002</v>
      </c>
    </row>
    <row r="2702" spans="1:10" s="579" customFormat="1">
      <c r="A2702" s="601"/>
      <c r="B2702" s="780"/>
      <c r="C2702" s="780"/>
      <c r="D2702" s="780"/>
      <c r="E2702" s="740"/>
      <c r="F2702" s="768"/>
      <c r="G2702" s="769"/>
      <c r="H2702" s="770"/>
      <c r="I2702" s="400"/>
      <c r="J2702" s="404"/>
    </row>
    <row r="2703" spans="1:10">
      <c r="A2703" s="403" t="s">
        <v>2518</v>
      </c>
      <c r="B2703" s="961" t="s">
        <v>1356</v>
      </c>
      <c r="C2703" s="961"/>
      <c r="D2703" s="961"/>
      <c r="E2703" s="961"/>
      <c r="F2703" s="961"/>
      <c r="G2703" s="402"/>
      <c r="H2703" s="403" t="s">
        <v>88</v>
      </c>
    </row>
    <row r="2704" spans="1:10" s="406" customFormat="1" ht="15">
      <c r="A2704" s="398"/>
      <c r="B2704" s="230" t="s">
        <v>1357</v>
      </c>
      <c r="C2704" s="231" t="s">
        <v>14</v>
      </c>
      <c r="D2704" s="401">
        <v>1</v>
      </c>
      <c r="E2704" s="959">
        <f>Insumos!C754</f>
        <v>24.2879</v>
      </c>
      <c r="F2704" s="959"/>
      <c r="G2704" s="958">
        <f>ROUND(D2704*E2704,2)</f>
        <v>24.29</v>
      </c>
      <c r="H2704" s="958"/>
      <c r="I2704" s="407"/>
      <c r="J2704" s="408"/>
    </row>
    <row r="2705" spans="1:10">
      <c r="A2705" s="398"/>
      <c r="B2705" s="230" t="s">
        <v>746</v>
      </c>
      <c r="C2705" s="231" t="s">
        <v>492</v>
      </c>
      <c r="D2705" s="401">
        <v>0.04</v>
      </c>
      <c r="E2705" s="959">
        <f>Insumos!C755</f>
        <v>25.898600000000002</v>
      </c>
      <c r="F2705" s="959"/>
      <c r="G2705" s="958">
        <f>ROUND(D2705*E2705,2)</f>
        <v>1.04</v>
      </c>
      <c r="H2705" s="958"/>
    </row>
    <row r="2706" spans="1:10">
      <c r="A2706" s="398"/>
      <c r="B2706" s="230" t="s">
        <v>747</v>
      </c>
      <c r="C2706" s="231" t="s">
        <v>14</v>
      </c>
      <c r="D2706" s="401">
        <v>2.3E-2</v>
      </c>
      <c r="E2706" s="959">
        <f>Insumos!C756</f>
        <v>30.676100000000002</v>
      </c>
      <c r="F2706" s="959"/>
      <c r="G2706" s="958">
        <f>ROUND(D2706*E2706,2)</f>
        <v>0.71</v>
      </c>
      <c r="H2706" s="958"/>
    </row>
    <row r="2707" spans="1:10">
      <c r="A2707" s="398"/>
      <c r="B2707" s="230" t="s">
        <v>517</v>
      </c>
      <c r="C2707" s="231" t="s">
        <v>112</v>
      </c>
      <c r="D2707" s="401">
        <v>0.45</v>
      </c>
      <c r="E2707" s="959">
        <f>Insumos!C757</f>
        <v>8.6722999999999999</v>
      </c>
      <c r="F2707" s="959"/>
      <c r="G2707" s="958">
        <f>ROUND(D2707*E2707,2)</f>
        <v>3.9</v>
      </c>
      <c r="H2707" s="958"/>
    </row>
    <row r="2708" spans="1:10">
      <c r="A2708" s="398"/>
      <c r="B2708" s="230" t="s">
        <v>516</v>
      </c>
      <c r="C2708" s="231" t="s">
        <v>112</v>
      </c>
      <c r="D2708" s="401">
        <v>0.45</v>
      </c>
      <c r="E2708" s="959">
        <f>Insumos!C758</f>
        <v>7.0798000000000005</v>
      </c>
      <c r="F2708" s="959"/>
      <c r="G2708" s="958">
        <f>ROUND(D2708*E2708,2)</f>
        <v>3.19</v>
      </c>
      <c r="H2708" s="958"/>
    </row>
    <row r="2709" spans="1:10">
      <c r="A2709" s="398"/>
      <c r="B2709" s="955" t="s">
        <v>536</v>
      </c>
      <c r="C2709" s="955"/>
      <c r="D2709" s="955"/>
      <c r="E2709" s="389"/>
      <c r="F2709" s="409"/>
      <c r="G2709" s="410"/>
      <c r="H2709" s="249">
        <f>SUM(G2704:H2706)</f>
        <v>26.04</v>
      </c>
    </row>
    <row r="2710" spans="1:10">
      <c r="A2710" s="398"/>
      <c r="B2710" s="955" t="s">
        <v>537</v>
      </c>
      <c r="C2710" s="955"/>
      <c r="D2710" s="955"/>
      <c r="E2710" s="389"/>
      <c r="F2710" s="409"/>
      <c r="G2710" s="410"/>
      <c r="H2710" s="249">
        <f>SUM(G2707:H2708)</f>
        <v>7.09</v>
      </c>
    </row>
    <row r="2711" spans="1:10">
      <c r="A2711" s="398"/>
      <c r="B2711" s="955" t="s">
        <v>1937</v>
      </c>
      <c r="C2711" s="955"/>
      <c r="D2711" s="955"/>
      <c r="E2711" s="389"/>
      <c r="F2711" s="409"/>
      <c r="G2711" s="410"/>
      <c r="H2711" s="249">
        <f>SUM(H2709:H2710)</f>
        <v>33.129999999999995</v>
      </c>
    </row>
    <row r="2712" spans="1:10">
      <c r="A2712" s="398"/>
      <c r="B2712" s="955" t="s">
        <v>538</v>
      </c>
      <c r="C2712" s="955"/>
      <c r="D2712" s="955"/>
      <c r="E2712" s="389"/>
      <c r="F2712" s="411" t="s">
        <v>539</v>
      </c>
      <c r="G2712" s="410"/>
      <c r="H2712" s="249">
        <f>ROUND(H2711*F2712,2)</f>
        <v>8.27</v>
      </c>
    </row>
    <row r="2713" spans="1:10">
      <c r="A2713" s="398"/>
      <c r="B2713" s="956" t="s">
        <v>540</v>
      </c>
      <c r="C2713" s="956"/>
      <c r="D2713" s="956"/>
      <c r="E2713" s="740"/>
      <c r="F2713" s="768"/>
      <c r="G2713" s="769"/>
      <c r="H2713" s="770">
        <f>SUM(H2711:H2712)</f>
        <v>41.399999999999991</v>
      </c>
    </row>
    <row r="2714" spans="1:10" s="579" customFormat="1">
      <c r="A2714" s="601"/>
      <c r="B2714" s="780"/>
      <c r="C2714" s="780"/>
      <c r="D2714" s="780"/>
      <c r="E2714" s="740"/>
      <c r="F2714" s="768"/>
      <c r="G2714" s="769"/>
      <c r="H2714" s="770"/>
      <c r="I2714" s="400"/>
      <c r="J2714" s="404"/>
    </row>
    <row r="2715" spans="1:10">
      <c r="A2715" s="403" t="s">
        <v>2519</v>
      </c>
      <c r="B2715" s="961" t="s">
        <v>1358</v>
      </c>
      <c r="C2715" s="961"/>
      <c r="D2715" s="961"/>
      <c r="E2715" s="961"/>
      <c r="F2715" s="961"/>
      <c r="G2715" s="402"/>
      <c r="H2715" s="403" t="s">
        <v>14</v>
      </c>
    </row>
    <row r="2716" spans="1:10" s="406" customFormat="1" ht="15">
      <c r="A2716" s="398"/>
      <c r="B2716" s="230" t="s">
        <v>1359</v>
      </c>
      <c r="C2716" s="231" t="s">
        <v>14</v>
      </c>
      <c r="D2716" s="401">
        <v>1</v>
      </c>
      <c r="E2716" s="959">
        <f>Insumos!C759</f>
        <v>0.81900000000000006</v>
      </c>
      <c r="F2716" s="959"/>
      <c r="G2716" s="958">
        <f>ROUND(D2716*E2716,2)</f>
        <v>0.82</v>
      </c>
      <c r="H2716" s="958"/>
      <c r="I2716" s="407"/>
      <c r="J2716" s="408"/>
    </row>
    <row r="2717" spans="1:10">
      <c r="A2717" s="398"/>
      <c r="B2717" s="230" t="s">
        <v>716</v>
      </c>
      <c r="C2717" s="231" t="s">
        <v>14</v>
      </c>
      <c r="D2717" s="401">
        <v>3.1E-2</v>
      </c>
      <c r="E2717" s="959">
        <f>Insumos!C760</f>
        <v>1.365</v>
      </c>
      <c r="F2717" s="959"/>
      <c r="G2717" s="958">
        <f>ROUND(D2717*E2717,2)</f>
        <v>0.04</v>
      </c>
      <c r="H2717" s="958"/>
    </row>
    <row r="2718" spans="1:10">
      <c r="A2718" s="398"/>
      <c r="B2718" s="230" t="s">
        <v>517</v>
      </c>
      <c r="C2718" s="231" t="s">
        <v>112</v>
      </c>
      <c r="D2718" s="401">
        <v>0.2</v>
      </c>
      <c r="E2718" s="959">
        <f>Insumos!C761</f>
        <v>8.6722999999999999</v>
      </c>
      <c r="F2718" s="959"/>
      <c r="G2718" s="958">
        <f>ROUND(D2718*E2718,2)</f>
        <v>1.73</v>
      </c>
      <c r="H2718" s="958"/>
    </row>
    <row r="2719" spans="1:10">
      <c r="A2719" s="398"/>
      <c r="B2719" s="230" t="s">
        <v>516</v>
      </c>
      <c r="C2719" s="231" t="s">
        <v>112</v>
      </c>
      <c r="D2719" s="401">
        <v>0.2</v>
      </c>
      <c r="E2719" s="959">
        <f>Insumos!C762</f>
        <v>7.0798000000000005</v>
      </c>
      <c r="F2719" s="959"/>
      <c r="G2719" s="958">
        <f>ROUND(D2719*E2719,2)</f>
        <v>1.42</v>
      </c>
      <c r="H2719" s="958"/>
    </row>
    <row r="2720" spans="1:10">
      <c r="A2720" s="398"/>
      <c r="B2720" s="955" t="s">
        <v>536</v>
      </c>
      <c r="C2720" s="955"/>
      <c r="D2720" s="955"/>
      <c r="E2720" s="389"/>
      <c r="F2720" s="409"/>
      <c r="G2720" s="410"/>
      <c r="H2720" s="249">
        <f>SUM(G2716:H2717)</f>
        <v>0.86</v>
      </c>
    </row>
    <row r="2721" spans="1:10">
      <c r="A2721" s="398"/>
      <c r="B2721" s="955" t="s">
        <v>537</v>
      </c>
      <c r="C2721" s="955"/>
      <c r="D2721" s="955"/>
      <c r="E2721" s="389"/>
      <c r="F2721" s="409"/>
      <c r="G2721" s="410"/>
      <c r="H2721" s="249">
        <f>SUM(G2718:H2719)</f>
        <v>3.15</v>
      </c>
    </row>
    <row r="2722" spans="1:10">
      <c r="A2722" s="398"/>
      <c r="B2722" s="955" t="s">
        <v>1937</v>
      </c>
      <c r="C2722" s="955"/>
      <c r="D2722" s="955"/>
      <c r="E2722" s="389"/>
      <c r="F2722" s="409"/>
      <c r="G2722" s="410"/>
      <c r="H2722" s="249">
        <f>SUM(H2720:H2721)</f>
        <v>4.01</v>
      </c>
    </row>
    <row r="2723" spans="1:10">
      <c r="A2723" s="398"/>
      <c r="B2723" s="955" t="s">
        <v>538</v>
      </c>
      <c r="C2723" s="955"/>
      <c r="D2723" s="955"/>
      <c r="E2723" s="389"/>
      <c r="F2723" s="411" t="s">
        <v>539</v>
      </c>
      <c r="G2723" s="410"/>
      <c r="H2723" s="249">
        <f>ROUND(H2722*F2723,2)</f>
        <v>1</v>
      </c>
    </row>
    <row r="2724" spans="1:10">
      <c r="A2724" s="398"/>
      <c r="B2724" s="956" t="s">
        <v>540</v>
      </c>
      <c r="C2724" s="956"/>
      <c r="D2724" s="956"/>
      <c r="E2724" s="740"/>
      <c r="F2724" s="768"/>
      <c r="G2724" s="769"/>
      <c r="H2724" s="770">
        <f>SUM(H2722:H2723)</f>
        <v>5.01</v>
      </c>
    </row>
    <row r="2725" spans="1:10" s="579" customFormat="1">
      <c r="A2725" s="601"/>
      <c r="B2725" s="780"/>
      <c r="C2725" s="780"/>
      <c r="D2725" s="780"/>
      <c r="E2725" s="740"/>
      <c r="F2725" s="768"/>
      <c r="G2725" s="769"/>
      <c r="H2725" s="770"/>
      <c r="I2725" s="400"/>
      <c r="J2725" s="404"/>
    </row>
    <row r="2726" spans="1:10">
      <c r="A2726" s="403" t="s">
        <v>2520</v>
      </c>
      <c r="B2726" s="961" t="s">
        <v>1360</v>
      </c>
      <c r="C2726" s="961"/>
      <c r="D2726" s="961"/>
      <c r="E2726" s="961"/>
      <c r="F2726" s="961"/>
      <c r="G2726" s="402"/>
      <c r="H2726" s="403" t="s">
        <v>14</v>
      </c>
    </row>
    <row r="2727" spans="1:10">
      <c r="A2727" s="398"/>
      <c r="B2727" s="230" t="s">
        <v>1360</v>
      </c>
      <c r="C2727" s="231" t="s">
        <v>14</v>
      </c>
      <c r="D2727" s="401">
        <v>1</v>
      </c>
      <c r="E2727" s="959">
        <f>Insumos!C763</f>
        <v>0.80990000000000006</v>
      </c>
      <c r="F2727" s="959"/>
      <c r="G2727" s="958">
        <f>ROUND(D2727*E2727,2)</f>
        <v>0.81</v>
      </c>
      <c r="H2727" s="958"/>
    </row>
    <row r="2728" spans="1:10" s="406" customFormat="1" ht="15">
      <c r="A2728" s="398"/>
      <c r="B2728" s="230" t="s">
        <v>716</v>
      </c>
      <c r="C2728" s="231" t="s">
        <v>14</v>
      </c>
      <c r="D2728" s="401">
        <v>3.1E-2</v>
      </c>
      <c r="E2728" s="959">
        <f>Insumos!C764</f>
        <v>1.365</v>
      </c>
      <c r="F2728" s="959"/>
      <c r="G2728" s="958">
        <f>ROUND(D2728*E2728,2)</f>
        <v>0.04</v>
      </c>
      <c r="H2728" s="958"/>
      <c r="I2728" s="407"/>
      <c r="J2728" s="408"/>
    </row>
    <row r="2729" spans="1:10">
      <c r="A2729" s="398"/>
      <c r="B2729" s="230" t="s">
        <v>517</v>
      </c>
      <c r="C2729" s="231" t="s">
        <v>112</v>
      </c>
      <c r="D2729" s="401">
        <v>0.2</v>
      </c>
      <c r="E2729" s="959">
        <f>Insumos!C765</f>
        <v>8.6722999999999999</v>
      </c>
      <c r="F2729" s="959"/>
      <c r="G2729" s="958">
        <f>ROUND(D2729*E2729,2)</f>
        <v>1.73</v>
      </c>
      <c r="H2729" s="958"/>
    </row>
    <row r="2730" spans="1:10">
      <c r="A2730" s="398"/>
      <c r="B2730" s="230" t="s">
        <v>516</v>
      </c>
      <c r="C2730" s="231" t="s">
        <v>112</v>
      </c>
      <c r="D2730" s="401">
        <v>0.2</v>
      </c>
      <c r="E2730" s="959">
        <f>Insumos!C766</f>
        <v>7.0798000000000005</v>
      </c>
      <c r="F2730" s="959"/>
      <c r="G2730" s="958">
        <f>ROUND(D2730*E2730,2)</f>
        <v>1.42</v>
      </c>
      <c r="H2730" s="958"/>
    </row>
    <row r="2731" spans="1:10">
      <c r="A2731" s="398"/>
      <c r="B2731" s="955" t="s">
        <v>536</v>
      </c>
      <c r="C2731" s="955"/>
      <c r="D2731" s="955"/>
      <c r="E2731" s="389"/>
      <c r="F2731" s="409"/>
      <c r="G2731" s="410"/>
      <c r="H2731" s="249">
        <f>SUM(G2727:H2728)</f>
        <v>0.85000000000000009</v>
      </c>
    </row>
    <row r="2732" spans="1:10">
      <c r="A2732" s="398"/>
      <c r="B2732" s="955" t="s">
        <v>537</v>
      </c>
      <c r="C2732" s="955"/>
      <c r="D2732" s="955"/>
      <c r="E2732" s="389"/>
      <c r="F2732" s="409"/>
      <c r="G2732" s="410"/>
      <c r="H2732" s="249">
        <f>SUM(G2729:H2730)</f>
        <v>3.15</v>
      </c>
    </row>
    <row r="2733" spans="1:10">
      <c r="A2733" s="398"/>
      <c r="B2733" s="955" t="s">
        <v>1937</v>
      </c>
      <c r="C2733" s="955"/>
      <c r="D2733" s="955"/>
      <c r="E2733" s="389"/>
      <c r="F2733" s="409"/>
      <c r="G2733" s="410"/>
      <c r="H2733" s="249">
        <f>SUM(H2731:H2732)</f>
        <v>4</v>
      </c>
    </row>
    <row r="2734" spans="1:10">
      <c r="A2734" s="398"/>
      <c r="B2734" s="955" t="s">
        <v>538</v>
      </c>
      <c r="C2734" s="955"/>
      <c r="D2734" s="955"/>
      <c r="E2734" s="389"/>
      <c r="F2734" s="411" t="s">
        <v>539</v>
      </c>
      <c r="G2734" s="410"/>
      <c r="H2734" s="249">
        <f>ROUND(H2733*F2734,2)</f>
        <v>1</v>
      </c>
    </row>
    <row r="2735" spans="1:10">
      <c r="A2735" s="398"/>
      <c r="B2735" s="956" t="s">
        <v>540</v>
      </c>
      <c r="C2735" s="956"/>
      <c r="D2735" s="956"/>
      <c r="E2735" s="740"/>
      <c r="F2735" s="768"/>
      <c r="G2735" s="769"/>
      <c r="H2735" s="770">
        <f>SUM(H2733:H2734)</f>
        <v>5</v>
      </c>
    </row>
    <row r="2736" spans="1:10" s="579" customFormat="1">
      <c r="A2736" s="601"/>
      <c r="B2736" s="780"/>
      <c r="C2736" s="780"/>
      <c r="D2736" s="780"/>
      <c r="E2736" s="740"/>
      <c r="F2736" s="768"/>
      <c r="G2736" s="769"/>
      <c r="H2736" s="770"/>
      <c r="I2736" s="400"/>
      <c r="J2736" s="404"/>
    </row>
    <row r="2737" spans="1:10" s="167" customFormat="1" ht="15">
      <c r="A2737" s="756" t="s">
        <v>2521</v>
      </c>
      <c r="B2737" s="975" t="s">
        <v>838</v>
      </c>
      <c r="C2737" s="975"/>
      <c r="D2737" s="975"/>
      <c r="E2737" s="975"/>
      <c r="F2737" s="975"/>
      <c r="G2737" s="792"/>
      <c r="H2737" s="793"/>
      <c r="I2737" s="326"/>
      <c r="J2737" s="344"/>
    </row>
    <row r="2738" spans="1:10" ht="51" customHeight="1">
      <c r="A2738" s="403" t="s">
        <v>2522</v>
      </c>
      <c r="B2738" s="961" t="s">
        <v>839</v>
      </c>
      <c r="C2738" s="961"/>
      <c r="D2738" s="961"/>
      <c r="E2738" s="961"/>
      <c r="F2738" s="961"/>
      <c r="G2738" s="402"/>
      <c r="H2738" s="403" t="s">
        <v>88</v>
      </c>
    </row>
    <row r="2739" spans="1:10">
      <c r="A2739" s="398"/>
      <c r="B2739" s="230" t="s">
        <v>549</v>
      </c>
      <c r="C2739" s="231" t="s">
        <v>16</v>
      </c>
      <c r="D2739" s="401">
        <v>0.75</v>
      </c>
      <c r="E2739" s="964">
        <f>Insumos!C767</f>
        <v>0.50050000000000006</v>
      </c>
      <c r="F2739" s="964"/>
      <c r="G2739" s="958">
        <f t="shared" ref="G2739:G2747" si="93">ROUND(D2739*E2739,2)</f>
        <v>0.38</v>
      </c>
      <c r="H2739" s="958"/>
    </row>
    <row r="2740" spans="1:10" s="406" customFormat="1" ht="15">
      <c r="A2740" s="398"/>
      <c r="B2740" s="230" t="s">
        <v>840</v>
      </c>
      <c r="C2740" s="231" t="s">
        <v>14</v>
      </c>
      <c r="D2740" s="401">
        <v>74.449620253164582</v>
      </c>
      <c r="E2740" s="964">
        <f>Insumos!C768</f>
        <v>1.1648000000000001</v>
      </c>
      <c r="F2740" s="964"/>
      <c r="G2740" s="958">
        <f t="shared" si="93"/>
        <v>86.72</v>
      </c>
      <c r="H2740" s="958"/>
      <c r="I2740" s="407"/>
      <c r="J2740" s="408"/>
    </row>
    <row r="2741" spans="1:10">
      <c r="A2741" s="398"/>
      <c r="B2741" s="230" t="s">
        <v>841</v>
      </c>
      <c r="C2741" s="231" t="s">
        <v>97</v>
      </c>
      <c r="D2741" s="401">
        <v>1.6E-2</v>
      </c>
      <c r="E2741" s="964">
        <f>Insumos!C769</f>
        <v>347.21960000000001</v>
      </c>
      <c r="F2741" s="964"/>
      <c r="G2741" s="958">
        <f t="shared" si="93"/>
        <v>5.56</v>
      </c>
      <c r="H2741" s="958"/>
    </row>
    <row r="2742" spans="1:10">
      <c r="A2742" s="398"/>
      <c r="B2742" s="230" t="s">
        <v>842</v>
      </c>
      <c r="C2742" s="231" t="s">
        <v>97</v>
      </c>
      <c r="D2742" s="401">
        <v>2.1999999999999999E-2</v>
      </c>
      <c r="E2742" s="964">
        <f>Insumos!C770</f>
        <v>296.66000000000003</v>
      </c>
      <c r="F2742" s="964"/>
      <c r="G2742" s="958">
        <f t="shared" si="93"/>
        <v>6.53</v>
      </c>
      <c r="H2742" s="958"/>
    </row>
    <row r="2743" spans="1:10">
      <c r="A2743" s="398"/>
      <c r="B2743" s="230" t="s">
        <v>604</v>
      </c>
      <c r="C2743" s="231" t="s">
        <v>97</v>
      </c>
      <c r="D2743" s="401">
        <v>1.7999999999999999E-2</v>
      </c>
      <c r="E2743" s="964">
        <f>Insumos!C771</f>
        <v>365.56520000000006</v>
      </c>
      <c r="F2743" s="964"/>
      <c r="G2743" s="958">
        <f t="shared" si="93"/>
        <v>6.58</v>
      </c>
      <c r="H2743" s="958"/>
    </row>
    <row r="2744" spans="1:10">
      <c r="A2744" s="398"/>
      <c r="B2744" s="230" t="s">
        <v>843</v>
      </c>
      <c r="C2744" s="231" t="s">
        <v>14</v>
      </c>
      <c r="D2744" s="401">
        <v>1</v>
      </c>
      <c r="E2744" s="964">
        <f>Insumos!C772</f>
        <v>20.0564</v>
      </c>
      <c r="F2744" s="964"/>
      <c r="G2744" s="958">
        <f t="shared" si="93"/>
        <v>20.059999999999999</v>
      </c>
      <c r="H2744" s="958"/>
    </row>
    <row r="2745" spans="1:10">
      <c r="A2745" s="398"/>
      <c r="B2745" s="230" t="s">
        <v>845</v>
      </c>
      <c r="C2745" s="231" t="s">
        <v>97</v>
      </c>
      <c r="D2745" s="401">
        <v>0.216</v>
      </c>
      <c r="E2745" s="964">
        <f>Insumos!C773</f>
        <v>69.897100000000009</v>
      </c>
      <c r="F2745" s="964"/>
      <c r="G2745" s="958">
        <f t="shared" si="93"/>
        <v>15.1</v>
      </c>
      <c r="H2745" s="958"/>
    </row>
    <row r="2746" spans="1:10">
      <c r="A2746" s="398"/>
      <c r="B2746" s="230" t="s">
        <v>576</v>
      </c>
      <c r="C2746" s="231" t="s">
        <v>112</v>
      </c>
      <c r="D2746" s="401">
        <v>1.1000000000000001</v>
      </c>
      <c r="E2746" s="964">
        <f>Insumos!C774</f>
        <v>8.6722999999999999</v>
      </c>
      <c r="F2746" s="964"/>
      <c r="G2746" s="958">
        <f t="shared" si="93"/>
        <v>9.5399999999999991</v>
      </c>
      <c r="H2746" s="958"/>
    </row>
    <row r="2747" spans="1:10">
      <c r="A2747" s="398"/>
      <c r="B2747" s="230" t="s">
        <v>535</v>
      </c>
      <c r="C2747" s="231" t="s">
        <v>112</v>
      </c>
      <c r="D2747" s="401">
        <v>1.1000000000000001</v>
      </c>
      <c r="E2747" s="964">
        <f>Insumos!C775</f>
        <v>6.4064000000000005</v>
      </c>
      <c r="F2747" s="964"/>
      <c r="G2747" s="958">
        <f t="shared" si="93"/>
        <v>7.05</v>
      </c>
      <c r="H2747" s="958"/>
    </row>
    <row r="2748" spans="1:10">
      <c r="A2748" s="398"/>
      <c r="B2748" s="955" t="s">
        <v>536</v>
      </c>
      <c r="C2748" s="955"/>
      <c r="D2748" s="955"/>
      <c r="E2748" s="389"/>
      <c r="F2748" s="409"/>
      <c r="G2748" s="410"/>
      <c r="H2748" s="249">
        <f>SUM(G2739:H2745)</f>
        <v>140.93</v>
      </c>
    </row>
    <row r="2749" spans="1:10">
      <c r="A2749" s="398"/>
      <c r="B2749" s="955" t="s">
        <v>537</v>
      </c>
      <c r="C2749" s="955"/>
      <c r="D2749" s="955"/>
      <c r="E2749" s="389"/>
      <c r="F2749" s="409"/>
      <c r="G2749" s="410"/>
      <c r="H2749" s="249">
        <f>SUM(G2746:H2747)</f>
        <v>16.59</v>
      </c>
    </row>
    <row r="2750" spans="1:10">
      <c r="A2750" s="398"/>
      <c r="B2750" s="955" t="s">
        <v>1937</v>
      </c>
      <c r="C2750" s="955"/>
      <c r="D2750" s="955"/>
      <c r="E2750" s="389"/>
      <c r="F2750" s="409"/>
      <c r="G2750" s="410"/>
      <c r="H2750" s="249">
        <f>SUM(H2748:H2749)</f>
        <v>157.52000000000001</v>
      </c>
    </row>
    <row r="2751" spans="1:10" s="406" customFormat="1" ht="15">
      <c r="A2751" s="398"/>
      <c r="B2751" s="955" t="s">
        <v>538</v>
      </c>
      <c r="C2751" s="955"/>
      <c r="D2751" s="955"/>
      <c r="E2751" s="389"/>
      <c r="F2751" s="411" t="s">
        <v>539</v>
      </c>
      <c r="G2751" s="410"/>
      <c r="H2751" s="249">
        <f>ROUND(H2750*F2751,2)</f>
        <v>39.32</v>
      </c>
      <c r="I2751" s="407"/>
      <c r="J2751" s="408"/>
    </row>
    <row r="2752" spans="1:10">
      <c r="A2752" s="398"/>
      <c r="B2752" s="956" t="s">
        <v>540</v>
      </c>
      <c r="C2752" s="956"/>
      <c r="D2752" s="956"/>
      <c r="E2752" s="740"/>
      <c r="F2752" s="768"/>
      <c r="G2752" s="769"/>
      <c r="H2752" s="770">
        <f>SUM(H2750:H2751)</f>
        <v>196.84</v>
      </c>
    </row>
    <row r="2753" spans="1:10" s="579" customFormat="1">
      <c r="A2753" s="601"/>
      <c r="B2753" s="780"/>
      <c r="C2753" s="780"/>
      <c r="D2753" s="780"/>
      <c r="E2753" s="740"/>
      <c r="F2753" s="768"/>
      <c r="G2753" s="769"/>
      <c r="H2753" s="770"/>
      <c r="I2753" s="400"/>
      <c r="J2753" s="404"/>
    </row>
    <row r="2754" spans="1:10">
      <c r="A2754" s="403" t="s">
        <v>2523</v>
      </c>
      <c r="B2754" s="961" t="s">
        <v>846</v>
      </c>
      <c r="C2754" s="961"/>
      <c r="D2754" s="961"/>
      <c r="E2754" s="961"/>
      <c r="F2754" s="961"/>
      <c r="G2754" s="402"/>
      <c r="H2754" s="403" t="s">
        <v>88</v>
      </c>
    </row>
    <row r="2755" spans="1:10">
      <c r="A2755" s="398"/>
      <c r="B2755" s="230" t="s">
        <v>746</v>
      </c>
      <c r="C2755" s="231" t="s">
        <v>492</v>
      </c>
      <c r="D2755" s="436">
        <v>3.0000000000000001E-3</v>
      </c>
      <c r="E2755" s="964">
        <f>Insumos!C776</f>
        <v>25.898600000000002</v>
      </c>
      <c r="F2755" s="964"/>
      <c r="G2755" s="958">
        <f>ROUND(D2755*E2755,2)</f>
        <v>0.08</v>
      </c>
      <c r="H2755" s="958"/>
    </row>
    <row r="2756" spans="1:10">
      <c r="A2756" s="398"/>
      <c r="B2756" s="230" t="s">
        <v>847</v>
      </c>
      <c r="C2756" s="231" t="s">
        <v>14</v>
      </c>
      <c r="D2756" s="436">
        <v>1</v>
      </c>
      <c r="E2756" s="964">
        <f>Insumos!C777</f>
        <v>14.6601</v>
      </c>
      <c r="F2756" s="964"/>
      <c r="G2756" s="958">
        <f>ROUND(D2756*E2756,2)</f>
        <v>14.66</v>
      </c>
      <c r="H2756" s="958"/>
    </row>
    <row r="2757" spans="1:10">
      <c r="A2757" s="398"/>
      <c r="B2757" s="230" t="s">
        <v>517</v>
      </c>
      <c r="C2757" s="231" t="s">
        <v>112</v>
      </c>
      <c r="D2757" s="436">
        <v>0.49899999999999978</v>
      </c>
      <c r="E2757" s="964">
        <f>Insumos!C778</f>
        <v>8.6722999999999999</v>
      </c>
      <c r="F2757" s="964"/>
      <c r="G2757" s="958">
        <f>ROUND(D2757*E2757,2)</f>
        <v>4.33</v>
      </c>
      <c r="H2757" s="958"/>
    </row>
    <row r="2758" spans="1:10">
      <c r="A2758" s="398"/>
      <c r="B2758" s="230" t="s">
        <v>535</v>
      </c>
      <c r="C2758" s="231" t="s">
        <v>112</v>
      </c>
      <c r="D2758" s="436">
        <v>0.5</v>
      </c>
      <c r="E2758" s="964">
        <f>Insumos!C779</f>
        <v>6.4064000000000005</v>
      </c>
      <c r="F2758" s="964"/>
      <c r="G2758" s="958">
        <f>ROUND(D2758*E2758,2)</f>
        <v>3.2</v>
      </c>
      <c r="H2758" s="958"/>
    </row>
    <row r="2759" spans="1:10">
      <c r="A2759" s="398"/>
      <c r="B2759" s="955" t="s">
        <v>536</v>
      </c>
      <c r="C2759" s="955"/>
      <c r="D2759" s="955"/>
      <c r="E2759" s="389"/>
      <c r="F2759" s="409"/>
      <c r="G2759" s="410"/>
      <c r="H2759" s="249">
        <f>SUM(G2755:H2756)</f>
        <v>14.74</v>
      </c>
    </row>
    <row r="2760" spans="1:10">
      <c r="A2760" s="398"/>
      <c r="B2760" s="955" t="s">
        <v>537</v>
      </c>
      <c r="C2760" s="955"/>
      <c r="D2760" s="955"/>
      <c r="E2760" s="389"/>
      <c r="F2760" s="409"/>
      <c r="G2760" s="410"/>
      <c r="H2760" s="249">
        <f>SUM(G2757:H2758)</f>
        <v>7.53</v>
      </c>
    </row>
    <row r="2761" spans="1:10">
      <c r="A2761" s="398"/>
      <c r="B2761" s="955" t="s">
        <v>1937</v>
      </c>
      <c r="C2761" s="955"/>
      <c r="D2761" s="955"/>
      <c r="E2761" s="389"/>
      <c r="F2761" s="409"/>
      <c r="G2761" s="410"/>
      <c r="H2761" s="249">
        <f>SUM(H2759:H2760)</f>
        <v>22.27</v>
      </c>
    </row>
    <row r="2762" spans="1:10">
      <c r="A2762" s="398"/>
      <c r="B2762" s="955" t="s">
        <v>538</v>
      </c>
      <c r="C2762" s="955"/>
      <c r="D2762" s="955"/>
      <c r="E2762" s="389"/>
      <c r="F2762" s="411" t="s">
        <v>539</v>
      </c>
      <c r="G2762" s="410"/>
      <c r="H2762" s="249">
        <f>ROUND(H2761*F2762,2)</f>
        <v>5.56</v>
      </c>
    </row>
    <row r="2763" spans="1:10">
      <c r="A2763" s="398"/>
      <c r="B2763" s="956" t="s">
        <v>540</v>
      </c>
      <c r="C2763" s="956"/>
      <c r="D2763" s="956"/>
      <c r="E2763" s="740"/>
      <c r="F2763" s="768"/>
      <c r="G2763" s="769"/>
      <c r="H2763" s="770">
        <f>SUM(H2761:H2762)</f>
        <v>27.83</v>
      </c>
    </row>
    <row r="2764" spans="1:10" s="579" customFormat="1">
      <c r="A2764" s="601"/>
      <c r="B2764" s="780"/>
      <c r="C2764" s="780"/>
      <c r="D2764" s="780"/>
      <c r="E2764" s="740"/>
      <c r="F2764" s="768"/>
      <c r="G2764" s="769"/>
      <c r="H2764" s="770"/>
      <c r="I2764" s="400"/>
      <c r="J2764" s="404"/>
    </row>
    <row r="2765" spans="1:10" s="406" customFormat="1" ht="15">
      <c r="A2765" s="403" t="s">
        <v>2524</v>
      </c>
      <c r="B2765" s="961" t="s">
        <v>293</v>
      </c>
      <c r="C2765" s="961"/>
      <c r="D2765" s="961"/>
      <c r="E2765" s="961"/>
      <c r="F2765" s="961"/>
      <c r="G2765" s="402"/>
      <c r="H2765" s="403" t="s">
        <v>88</v>
      </c>
      <c r="I2765" s="407"/>
      <c r="J2765" s="408"/>
    </row>
    <row r="2766" spans="1:10">
      <c r="A2766" s="398"/>
      <c r="B2766" s="230" t="s">
        <v>848</v>
      </c>
      <c r="C2766" s="231" t="s">
        <v>14</v>
      </c>
      <c r="D2766" s="401">
        <v>0.99950000000000006</v>
      </c>
      <c r="E2766" s="959">
        <f>Insumos!C780</f>
        <v>19.201000000000001</v>
      </c>
      <c r="F2766" s="959"/>
      <c r="G2766" s="958">
        <f>ROUND(D2766*E2766,2)</f>
        <v>19.190000000000001</v>
      </c>
      <c r="H2766" s="958"/>
    </row>
    <row r="2767" spans="1:10">
      <c r="A2767" s="398"/>
      <c r="B2767" s="230" t="s">
        <v>517</v>
      </c>
      <c r="C2767" s="231" t="s">
        <v>112</v>
      </c>
      <c r="D2767" s="401">
        <v>0.7</v>
      </c>
      <c r="E2767" s="959">
        <f>Insumos!C781</f>
        <v>8.6722999999999999</v>
      </c>
      <c r="F2767" s="959"/>
      <c r="G2767" s="958">
        <f>ROUND(D2767*E2767,2)</f>
        <v>6.07</v>
      </c>
      <c r="H2767" s="958"/>
    </row>
    <row r="2768" spans="1:10">
      <c r="A2768" s="398"/>
      <c r="B2768" s="230" t="s">
        <v>509</v>
      </c>
      <c r="C2768" s="231" t="s">
        <v>112</v>
      </c>
      <c r="D2768" s="401">
        <v>0.7</v>
      </c>
      <c r="E2768" s="959">
        <f>Insumos!C782</f>
        <v>6.4064000000000005</v>
      </c>
      <c r="F2768" s="959"/>
      <c r="G2768" s="958">
        <f>ROUND(D2768*E2768,2)</f>
        <v>4.4800000000000004</v>
      </c>
      <c r="H2768" s="958"/>
    </row>
    <row r="2769" spans="1:10">
      <c r="A2769" s="398"/>
      <c r="B2769" s="955" t="s">
        <v>536</v>
      </c>
      <c r="C2769" s="955"/>
      <c r="D2769" s="955"/>
      <c r="E2769" s="389"/>
      <c r="F2769" s="409"/>
      <c r="G2769" s="410"/>
      <c r="H2769" s="249">
        <f>SUM(G2766)</f>
        <v>19.190000000000001</v>
      </c>
    </row>
    <row r="2770" spans="1:10">
      <c r="A2770" s="398"/>
      <c r="B2770" s="955" t="s">
        <v>537</v>
      </c>
      <c r="C2770" s="955"/>
      <c r="D2770" s="955"/>
      <c r="E2770" s="389"/>
      <c r="F2770" s="409"/>
      <c r="G2770" s="410"/>
      <c r="H2770" s="249">
        <f>SUM(G2767:H2768)</f>
        <v>10.55</v>
      </c>
    </row>
    <row r="2771" spans="1:10">
      <c r="A2771" s="398"/>
      <c r="B2771" s="955" t="s">
        <v>1937</v>
      </c>
      <c r="C2771" s="955"/>
      <c r="D2771" s="955"/>
      <c r="E2771" s="389"/>
      <c r="F2771" s="409"/>
      <c r="G2771" s="410"/>
      <c r="H2771" s="249">
        <f>SUM(H2769:H2770)</f>
        <v>29.740000000000002</v>
      </c>
    </row>
    <row r="2772" spans="1:10">
      <c r="A2772" s="398"/>
      <c r="B2772" s="955" t="s">
        <v>538</v>
      </c>
      <c r="C2772" s="955"/>
      <c r="D2772" s="955"/>
      <c r="E2772" s="389"/>
      <c r="F2772" s="411" t="s">
        <v>539</v>
      </c>
      <c r="G2772" s="410"/>
      <c r="H2772" s="249">
        <f>ROUND(H2771*F2772,2)</f>
        <v>7.42</v>
      </c>
    </row>
    <row r="2773" spans="1:10">
      <c r="A2773" s="398"/>
      <c r="B2773" s="956" t="s">
        <v>540</v>
      </c>
      <c r="C2773" s="956"/>
      <c r="D2773" s="956"/>
      <c r="E2773" s="740"/>
      <c r="F2773" s="768"/>
      <c r="G2773" s="769"/>
      <c r="H2773" s="770">
        <f>SUM(H2771:H2772)</f>
        <v>37.160000000000004</v>
      </c>
    </row>
    <row r="2774" spans="1:10" s="579" customFormat="1">
      <c r="A2774" s="601"/>
      <c r="B2774" s="780"/>
      <c r="C2774" s="780"/>
      <c r="D2774" s="780"/>
      <c r="E2774" s="740"/>
      <c r="F2774" s="768"/>
      <c r="G2774" s="769"/>
      <c r="H2774" s="770"/>
      <c r="I2774" s="400"/>
      <c r="J2774" s="404"/>
    </row>
    <row r="2775" spans="1:10">
      <c r="A2775" s="403" t="s">
        <v>2525</v>
      </c>
      <c r="B2775" s="961" t="s">
        <v>294</v>
      </c>
      <c r="C2775" s="961"/>
      <c r="D2775" s="961"/>
      <c r="E2775" s="961"/>
      <c r="F2775" s="961"/>
      <c r="G2775" s="402"/>
      <c r="H2775" s="403" t="s">
        <v>88</v>
      </c>
    </row>
    <row r="2776" spans="1:10">
      <c r="A2776" s="398"/>
      <c r="B2776" s="230" t="s">
        <v>849</v>
      </c>
      <c r="C2776" s="231" t="s">
        <v>14</v>
      </c>
      <c r="D2776" s="436">
        <v>1</v>
      </c>
      <c r="E2776" s="964">
        <f>Insumos!C783</f>
        <v>5.4326999999999996</v>
      </c>
      <c r="F2776" s="964"/>
      <c r="G2776" s="958">
        <f>ROUND(D2776*E2776,2)</f>
        <v>5.43</v>
      </c>
      <c r="H2776" s="958"/>
    </row>
    <row r="2777" spans="1:10" s="406" customFormat="1" ht="15">
      <c r="A2777" s="398"/>
      <c r="B2777" s="230" t="s">
        <v>704</v>
      </c>
      <c r="C2777" s="231" t="s">
        <v>112</v>
      </c>
      <c r="D2777" s="436">
        <v>0.49833333333333335</v>
      </c>
      <c r="E2777" s="964">
        <f>Insumos!C784</f>
        <v>6.4064000000000005</v>
      </c>
      <c r="F2777" s="964"/>
      <c r="G2777" s="958">
        <f>ROUND(D2777*E2777,2)</f>
        <v>3.19</v>
      </c>
      <c r="H2777" s="958"/>
      <c r="I2777" s="407"/>
      <c r="J2777" s="408"/>
    </row>
    <row r="2778" spans="1:10">
      <c r="A2778" s="398"/>
      <c r="B2778" s="230" t="s">
        <v>517</v>
      </c>
      <c r="C2778" s="231" t="s">
        <v>112</v>
      </c>
      <c r="D2778" s="436">
        <v>0.5</v>
      </c>
      <c r="E2778" s="964">
        <f>Insumos!C785</f>
        <v>8.6722999999999999</v>
      </c>
      <c r="F2778" s="964"/>
      <c r="G2778" s="958">
        <f>ROUND(D2778*E2778,2)</f>
        <v>4.34</v>
      </c>
      <c r="H2778" s="958"/>
    </row>
    <row r="2779" spans="1:10">
      <c r="A2779" s="398"/>
      <c r="B2779" s="955" t="s">
        <v>536</v>
      </c>
      <c r="C2779" s="955"/>
      <c r="D2779" s="955"/>
      <c r="E2779" s="389"/>
      <c r="F2779" s="409"/>
      <c r="G2779" s="410"/>
      <c r="H2779" s="249">
        <f>SUM(G2776)</f>
        <v>5.43</v>
      </c>
    </row>
    <row r="2780" spans="1:10">
      <c r="A2780" s="398"/>
      <c r="B2780" s="955" t="s">
        <v>537</v>
      </c>
      <c r="C2780" s="955"/>
      <c r="D2780" s="955"/>
      <c r="E2780" s="389"/>
      <c r="F2780" s="409"/>
      <c r="G2780" s="410"/>
      <c r="H2780" s="249">
        <f>SUM(G2777:H2778)</f>
        <v>7.5299999999999994</v>
      </c>
    </row>
    <row r="2781" spans="1:10">
      <c r="A2781" s="398"/>
      <c r="B2781" s="955" t="s">
        <v>1937</v>
      </c>
      <c r="C2781" s="955"/>
      <c r="D2781" s="955"/>
      <c r="E2781" s="389"/>
      <c r="F2781" s="409"/>
      <c r="G2781" s="410"/>
      <c r="H2781" s="249">
        <f>SUM(H2779:H2780)</f>
        <v>12.959999999999999</v>
      </c>
    </row>
    <row r="2782" spans="1:10">
      <c r="A2782" s="398"/>
      <c r="B2782" s="955" t="s">
        <v>538</v>
      </c>
      <c r="C2782" s="955"/>
      <c r="D2782" s="955"/>
      <c r="E2782" s="389"/>
      <c r="F2782" s="411" t="s">
        <v>539</v>
      </c>
      <c r="G2782" s="410"/>
      <c r="H2782" s="249">
        <f>ROUND(H2781*F2782,2)</f>
        <v>3.23</v>
      </c>
    </row>
    <row r="2783" spans="1:10">
      <c r="A2783" s="398"/>
      <c r="B2783" s="956" t="s">
        <v>540</v>
      </c>
      <c r="C2783" s="956"/>
      <c r="D2783" s="956"/>
      <c r="E2783" s="740"/>
      <c r="F2783" s="768"/>
      <c r="G2783" s="769"/>
      <c r="H2783" s="770">
        <f>SUM(H2781:H2782)</f>
        <v>16.189999999999998</v>
      </c>
    </row>
    <row r="2784" spans="1:10" s="579" customFormat="1">
      <c r="A2784" s="601"/>
      <c r="B2784" s="780"/>
      <c r="C2784" s="780"/>
      <c r="D2784" s="780"/>
      <c r="E2784" s="740"/>
      <c r="F2784" s="768"/>
      <c r="G2784" s="769"/>
      <c r="H2784" s="770"/>
      <c r="I2784" s="400"/>
      <c r="J2784" s="404"/>
    </row>
    <row r="2785" spans="1:10">
      <c r="A2785" s="403" t="s">
        <v>2526</v>
      </c>
      <c r="B2785" s="961" t="s">
        <v>850</v>
      </c>
      <c r="C2785" s="961"/>
      <c r="D2785" s="961"/>
      <c r="E2785" s="961"/>
      <c r="F2785" s="961"/>
      <c r="G2785" s="402"/>
      <c r="H2785" s="403" t="s">
        <v>88</v>
      </c>
    </row>
    <row r="2786" spans="1:10">
      <c r="A2786" s="398"/>
      <c r="B2786" s="230" t="s">
        <v>851</v>
      </c>
      <c r="C2786" s="231" t="s">
        <v>14</v>
      </c>
      <c r="D2786" s="401">
        <v>0.97500000000000064</v>
      </c>
      <c r="E2786" s="964">
        <f>Insumos!C786</f>
        <v>1.8836999999999999</v>
      </c>
      <c r="F2786" s="964"/>
      <c r="G2786" s="958">
        <f>ROUND(D2786*E2786,2)</f>
        <v>1.84</v>
      </c>
      <c r="H2786" s="958"/>
    </row>
    <row r="2787" spans="1:10">
      <c r="A2787" s="398"/>
      <c r="B2787" s="230" t="s">
        <v>746</v>
      </c>
      <c r="C2787" s="231" t="s">
        <v>492</v>
      </c>
      <c r="D2787" s="401">
        <v>1.7000000000000001E-2</v>
      </c>
      <c r="E2787" s="964">
        <f>Insumos!C787</f>
        <v>25.898600000000002</v>
      </c>
      <c r="F2787" s="964"/>
      <c r="G2787" s="958">
        <f>ROUND(D2787*E2787,2)</f>
        <v>0.44</v>
      </c>
      <c r="H2787" s="958"/>
    </row>
    <row r="2788" spans="1:10">
      <c r="A2788" s="398"/>
      <c r="B2788" s="230" t="s">
        <v>747</v>
      </c>
      <c r="C2788" s="231" t="s">
        <v>14</v>
      </c>
      <c r="D2788" s="401">
        <v>2E-3</v>
      </c>
      <c r="E2788" s="964">
        <f>Insumos!C788</f>
        <v>30.676100000000002</v>
      </c>
      <c r="F2788" s="964"/>
      <c r="G2788" s="958">
        <f>ROUND(D2788*E2788,2)</f>
        <v>0.06</v>
      </c>
      <c r="H2788" s="958"/>
    </row>
    <row r="2789" spans="1:10" s="406" customFormat="1" ht="15">
      <c r="A2789" s="398"/>
      <c r="B2789" s="230" t="s">
        <v>704</v>
      </c>
      <c r="C2789" s="231" t="s">
        <v>112</v>
      </c>
      <c r="D2789" s="401">
        <v>0.1</v>
      </c>
      <c r="E2789" s="964">
        <f>Insumos!C789</f>
        <v>6.4792000000000005</v>
      </c>
      <c r="F2789" s="964"/>
      <c r="G2789" s="958">
        <f>ROUND(D2789*E2789,2)</f>
        <v>0.65</v>
      </c>
      <c r="H2789" s="958"/>
      <c r="I2789" s="407"/>
      <c r="J2789" s="408"/>
    </row>
    <row r="2790" spans="1:10">
      <c r="A2790" s="398"/>
      <c r="B2790" s="230" t="s">
        <v>517</v>
      </c>
      <c r="C2790" s="231" t="s">
        <v>112</v>
      </c>
      <c r="D2790" s="401">
        <v>0.1</v>
      </c>
      <c r="E2790" s="964">
        <f>Insumos!C790</f>
        <v>8.6722999999999999</v>
      </c>
      <c r="F2790" s="964"/>
      <c r="G2790" s="958">
        <f>ROUND(D2790*E2790,2)</f>
        <v>0.87</v>
      </c>
      <c r="H2790" s="958"/>
    </row>
    <row r="2791" spans="1:10">
      <c r="A2791" s="398"/>
      <c r="B2791" s="955" t="s">
        <v>536</v>
      </c>
      <c r="C2791" s="955"/>
      <c r="D2791" s="955"/>
      <c r="E2791" s="389"/>
      <c r="F2791" s="409"/>
      <c r="G2791" s="410"/>
      <c r="H2791" s="249">
        <f>SUM(G2786:H2788)</f>
        <v>2.3400000000000003</v>
      </c>
    </row>
    <row r="2792" spans="1:10">
      <c r="A2792" s="398"/>
      <c r="B2792" s="955" t="s">
        <v>537</v>
      </c>
      <c r="C2792" s="955"/>
      <c r="D2792" s="955"/>
      <c r="E2792" s="389"/>
      <c r="F2792" s="409"/>
      <c r="G2792" s="410"/>
      <c r="H2792" s="249">
        <f>SUM(G2789:H2790)</f>
        <v>1.52</v>
      </c>
    </row>
    <row r="2793" spans="1:10">
      <c r="A2793" s="398"/>
      <c r="B2793" s="955" t="s">
        <v>1937</v>
      </c>
      <c r="C2793" s="955"/>
      <c r="D2793" s="955"/>
      <c r="E2793" s="389"/>
      <c r="F2793" s="409"/>
      <c r="G2793" s="410"/>
      <c r="H2793" s="249">
        <f>SUM(H2791:H2792)</f>
        <v>3.8600000000000003</v>
      </c>
    </row>
    <row r="2794" spans="1:10">
      <c r="A2794" s="398"/>
      <c r="B2794" s="955" t="s">
        <v>538</v>
      </c>
      <c r="C2794" s="955"/>
      <c r="D2794" s="955"/>
      <c r="E2794" s="389"/>
      <c r="F2794" s="411" t="s">
        <v>539</v>
      </c>
      <c r="G2794" s="410"/>
      <c r="H2794" s="249">
        <f>ROUND(H2793*F2794,2)</f>
        <v>0.96</v>
      </c>
    </row>
    <row r="2795" spans="1:10">
      <c r="A2795" s="398"/>
      <c r="B2795" s="956" t="s">
        <v>540</v>
      </c>
      <c r="C2795" s="956"/>
      <c r="D2795" s="956"/>
      <c r="E2795" s="740"/>
      <c r="F2795" s="768"/>
      <c r="G2795" s="769"/>
      <c r="H2795" s="770">
        <f>SUM(H2793:H2794)</f>
        <v>4.82</v>
      </c>
    </row>
    <row r="2796" spans="1:10" s="579" customFormat="1">
      <c r="A2796" s="601"/>
      <c r="B2796" s="780"/>
      <c r="C2796" s="780"/>
      <c r="D2796" s="780"/>
      <c r="E2796" s="740"/>
      <c r="F2796" s="768"/>
      <c r="G2796" s="769"/>
      <c r="H2796" s="770"/>
      <c r="I2796" s="400"/>
      <c r="J2796" s="404"/>
    </row>
    <row r="2797" spans="1:10">
      <c r="A2797" s="403" t="s">
        <v>2527</v>
      </c>
      <c r="B2797" s="961" t="s">
        <v>852</v>
      </c>
      <c r="C2797" s="961"/>
      <c r="D2797" s="961"/>
      <c r="E2797" s="961"/>
      <c r="F2797" s="961"/>
      <c r="G2797" s="402"/>
      <c r="H2797" s="403" t="s">
        <v>88</v>
      </c>
    </row>
    <row r="2798" spans="1:10">
      <c r="A2798" s="398"/>
      <c r="B2798" s="230" t="s">
        <v>746</v>
      </c>
      <c r="C2798" s="231" t="s">
        <v>492</v>
      </c>
      <c r="D2798" s="401">
        <v>2.1999999999999999E-2</v>
      </c>
      <c r="E2798" s="964">
        <f>Insumos!C791</f>
        <v>25.898600000000002</v>
      </c>
      <c r="F2798" s="964"/>
      <c r="G2798" s="958">
        <f>ROUND(D2798*E2798,2)</f>
        <v>0.56999999999999995</v>
      </c>
      <c r="H2798" s="958"/>
    </row>
    <row r="2799" spans="1:10">
      <c r="A2799" s="398"/>
      <c r="B2799" s="230" t="s">
        <v>747</v>
      </c>
      <c r="C2799" s="231" t="s">
        <v>14</v>
      </c>
      <c r="D2799" s="401">
        <v>5.9999999999999984E-3</v>
      </c>
      <c r="E2799" s="964">
        <f>Insumos!C792</f>
        <v>30.676100000000002</v>
      </c>
      <c r="F2799" s="964"/>
      <c r="G2799" s="958">
        <f>ROUND(D2799*E2799,2)</f>
        <v>0.18</v>
      </c>
      <c r="H2799" s="958"/>
    </row>
    <row r="2800" spans="1:10">
      <c r="A2800" s="398"/>
      <c r="B2800" s="230" t="s">
        <v>853</v>
      </c>
      <c r="C2800" s="231" t="s">
        <v>14</v>
      </c>
      <c r="D2800" s="401">
        <v>1</v>
      </c>
      <c r="E2800" s="964">
        <f>Insumos!C793</f>
        <v>5.8058000000000005</v>
      </c>
      <c r="F2800" s="964"/>
      <c r="G2800" s="958">
        <f>ROUND(D2800*E2800,2)</f>
        <v>5.81</v>
      </c>
      <c r="H2800" s="958"/>
    </row>
    <row r="2801" spans="1:10" s="406" customFormat="1" ht="15">
      <c r="A2801" s="398"/>
      <c r="B2801" s="230" t="s">
        <v>704</v>
      </c>
      <c r="C2801" s="231" t="s">
        <v>112</v>
      </c>
      <c r="D2801" s="401">
        <v>0.1</v>
      </c>
      <c r="E2801" s="964">
        <f>Insumos!C794</f>
        <v>6.4792000000000005</v>
      </c>
      <c r="F2801" s="964"/>
      <c r="G2801" s="958">
        <f>ROUND(D2801*E2801,2)</f>
        <v>0.65</v>
      </c>
      <c r="H2801" s="958"/>
      <c r="I2801" s="407"/>
      <c r="J2801" s="408"/>
    </row>
    <row r="2802" spans="1:10">
      <c r="A2802" s="398"/>
      <c r="B2802" s="230" t="s">
        <v>517</v>
      </c>
      <c r="C2802" s="231" t="s">
        <v>112</v>
      </c>
      <c r="D2802" s="401">
        <v>0.12</v>
      </c>
      <c r="E2802" s="964">
        <f>Insumos!C795</f>
        <v>8.6722999999999999</v>
      </c>
      <c r="F2802" s="964"/>
      <c r="G2802" s="958">
        <f>ROUND(D2802*E2802,2)</f>
        <v>1.04</v>
      </c>
      <c r="H2802" s="958"/>
    </row>
    <row r="2803" spans="1:10">
      <c r="A2803" s="398"/>
      <c r="B2803" s="955" t="s">
        <v>536</v>
      </c>
      <c r="C2803" s="955"/>
      <c r="D2803" s="955"/>
      <c r="E2803" s="389"/>
      <c r="F2803" s="409"/>
      <c r="G2803" s="410"/>
      <c r="H2803" s="249">
        <f>SUM(G2798:H2800)</f>
        <v>6.56</v>
      </c>
    </row>
    <row r="2804" spans="1:10">
      <c r="A2804" s="398"/>
      <c r="B2804" s="955" t="s">
        <v>537</v>
      </c>
      <c r="C2804" s="955"/>
      <c r="D2804" s="955"/>
      <c r="E2804" s="389"/>
      <c r="F2804" s="409"/>
      <c r="G2804" s="410"/>
      <c r="H2804" s="249">
        <f>SUM(G2801:H2802)</f>
        <v>1.69</v>
      </c>
    </row>
    <row r="2805" spans="1:10">
      <c r="A2805" s="398"/>
      <c r="B2805" s="955" t="s">
        <v>1937</v>
      </c>
      <c r="C2805" s="955"/>
      <c r="D2805" s="955"/>
      <c r="E2805" s="491"/>
      <c r="F2805" s="409"/>
      <c r="G2805" s="410"/>
      <c r="H2805" s="249">
        <f>SUM(H2803:H2804)</f>
        <v>8.25</v>
      </c>
    </row>
    <row r="2806" spans="1:10">
      <c r="A2806" s="398"/>
      <c r="B2806" s="955" t="s">
        <v>538</v>
      </c>
      <c r="C2806" s="955"/>
      <c r="D2806" s="955"/>
      <c r="E2806" s="389"/>
      <c r="F2806" s="411" t="s">
        <v>539</v>
      </c>
      <c r="G2806" s="410"/>
      <c r="H2806" s="249">
        <f>ROUND(H2805*F2806,2)</f>
        <v>2.06</v>
      </c>
    </row>
    <row r="2807" spans="1:10">
      <c r="A2807" s="398"/>
      <c r="B2807" s="956" t="s">
        <v>540</v>
      </c>
      <c r="C2807" s="956"/>
      <c r="D2807" s="956"/>
      <c r="E2807" s="740"/>
      <c r="F2807" s="768"/>
      <c r="G2807" s="769"/>
      <c r="H2807" s="770">
        <f>SUM(H2805:H2806)</f>
        <v>10.31</v>
      </c>
    </row>
    <row r="2808" spans="1:10" s="579" customFormat="1">
      <c r="A2808" s="601"/>
      <c r="B2808" s="780"/>
      <c r="C2808" s="780"/>
      <c r="D2808" s="780"/>
      <c r="E2808" s="740"/>
      <c r="F2808" s="768"/>
      <c r="G2808" s="769"/>
      <c r="H2808" s="770"/>
      <c r="I2808" s="400"/>
      <c r="J2808" s="404"/>
    </row>
    <row r="2809" spans="1:10">
      <c r="A2809" s="403" t="s">
        <v>2528</v>
      </c>
      <c r="B2809" s="961" t="s">
        <v>296</v>
      </c>
      <c r="C2809" s="961"/>
      <c r="D2809" s="961"/>
      <c r="E2809" s="961"/>
      <c r="F2809" s="961"/>
      <c r="G2809" s="402"/>
      <c r="H2809" s="403" t="s">
        <v>88</v>
      </c>
    </row>
    <row r="2810" spans="1:10">
      <c r="A2810" s="398"/>
      <c r="B2810" s="230" t="s">
        <v>854</v>
      </c>
      <c r="C2810" s="231" t="s">
        <v>14</v>
      </c>
      <c r="D2810" s="401">
        <v>1</v>
      </c>
      <c r="E2810" s="964">
        <f>Insumos!C796</f>
        <v>4.5045000000000002</v>
      </c>
      <c r="F2810" s="964"/>
      <c r="G2810" s="958">
        <f>ROUND(D2810*E2810,2)</f>
        <v>4.5</v>
      </c>
      <c r="H2810" s="958"/>
    </row>
    <row r="2811" spans="1:10">
      <c r="A2811" s="398"/>
      <c r="B2811" s="230" t="s">
        <v>746</v>
      </c>
      <c r="C2811" s="231" t="s">
        <v>492</v>
      </c>
      <c r="D2811" s="401">
        <v>2.1999999999999999E-2</v>
      </c>
      <c r="E2811" s="964">
        <f>Insumos!C797</f>
        <v>25.898600000000002</v>
      </c>
      <c r="F2811" s="964"/>
      <c r="G2811" s="958">
        <f>ROUND(D2811*E2811,2)</f>
        <v>0.56999999999999995</v>
      </c>
      <c r="H2811" s="958"/>
    </row>
    <row r="2812" spans="1:10">
      <c r="A2812" s="398"/>
      <c r="B2812" s="230" t="s">
        <v>747</v>
      </c>
      <c r="C2812" s="231" t="s">
        <v>14</v>
      </c>
      <c r="D2812" s="401">
        <v>5.9999999999999273E-3</v>
      </c>
      <c r="E2812" s="964">
        <f>Insumos!C798</f>
        <v>30.676100000000002</v>
      </c>
      <c r="F2812" s="964"/>
      <c r="G2812" s="958">
        <f>ROUND(D2812*E2812,2)</f>
        <v>0.18</v>
      </c>
      <c r="H2812" s="958"/>
    </row>
    <row r="2813" spans="1:10" s="406" customFormat="1" ht="15">
      <c r="A2813" s="398"/>
      <c r="B2813" s="230" t="s">
        <v>704</v>
      </c>
      <c r="C2813" s="231" t="s">
        <v>112</v>
      </c>
      <c r="D2813" s="401">
        <v>0.1</v>
      </c>
      <c r="E2813" s="964">
        <f>Insumos!C799</f>
        <v>6.4792000000000005</v>
      </c>
      <c r="F2813" s="964"/>
      <c r="G2813" s="958">
        <f>ROUND(D2813*E2813,2)</f>
        <v>0.65</v>
      </c>
      <c r="H2813" s="958"/>
      <c r="I2813" s="407"/>
      <c r="J2813" s="408"/>
    </row>
    <row r="2814" spans="1:10">
      <c r="A2814" s="398"/>
      <c r="B2814" s="230" t="s">
        <v>517</v>
      </c>
      <c r="C2814" s="231" t="s">
        <v>112</v>
      </c>
      <c r="D2814" s="401">
        <v>0.12</v>
      </c>
      <c r="E2814" s="964">
        <f>Insumos!C800</f>
        <v>8.6722999999999999</v>
      </c>
      <c r="F2814" s="964"/>
      <c r="G2814" s="958">
        <f>ROUND(D2814*E2814,2)</f>
        <v>1.04</v>
      </c>
      <c r="H2814" s="958"/>
    </row>
    <row r="2815" spans="1:10">
      <c r="A2815" s="398"/>
      <c r="B2815" s="955" t="s">
        <v>536</v>
      </c>
      <c r="C2815" s="955"/>
      <c r="D2815" s="955"/>
      <c r="E2815" s="389"/>
      <c r="F2815" s="409"/>
      <c r="G2815" s="410"/>
      <c r="H2815" s="249">
        <f>SUM(G2810:H2812)</f>
        <v>5.25</v>
      </c>
    </row>
    <row r="2816" spans="1:10">
      <c r="A2816" s="398"/>
      <c r="B2816" s="955" t="s">
        <v>537</v>
      </c>
      <c r="C2816" s="955"/>
      <c r="D2816" s="955"/>
      <c r="E2816" s="389"/>
      <c r="F2816" s="409"/>
      <c r="G2816" s="410"/>
      <c r="H2816" s="249">
        <f>SUM(G2813:H2814)</f>
        <v>1.69</v>
      </c>
    </row>
    <row r="2817" spans="1:10">
      <c r="A2817" s="398"/>
      <c r="B2817" s="955" t="s">
        <v>1937</v>
      </c>
      <c r="C2817" s="955"/>
      <c r="D2817" s="955"/>
      <c r="E2817" s="389"/>
      <c r="F2817" s="409"/>
      <c r="G2817" s="410"/>
      <c r="H2817" s="249">
        <f>SUM(H2815:H2816)</f>
        <v>6.9399999999999995</v>
      </c>
    </row>
    <row r="2818" spans="1:10">
      <c r="A2818" s="398"/>
      <c r="B2818" s="955" t="s">
        <v>538</v>
      </c>
      <c r="C2818" s="955"/>
      <c r="D2818" s="955"/>
      <c r="E2818" s="389"/>
      <c r="F2818" s="411" t="s">
        <v>539</v>
      </c>
      <c r="G2818" s="410"/>
      <c r="H2818" s="249">
        <f>ROUND(H2817*F2818,2)</f>
        <v>1.73</v>
      </c>
    </row>
    <row r="2819" spans="1:10">
      <c r="A2819" s="398"/>
      <c r="B2819" s="956" t="s">
        <v>540</v>
      </c>
      <c r="C2819" s="956"/>
      <c r="D2819" s="956"/>
      <c r="E2819" s="740"/>
      <c r="F2819" s="768"/>
      <c r="G2819" s="769"/>
      <c r="H2819" s="770">
        <f>SUM(H2817:H2818)</f>
        <v>8.67</v>
      </c>
    </row>
    <row r="2820" spans="1:10" s="579" customFormat="1">
      <c r="A2820" s="601"/>
      <c r="B2820" s="780"/>
      <c r="C2820" s="780"/>
      <c r="D2820" s="780"/>
      <c r="E2820" s="740"/>
      <c r="F2820" s="768"/>
      <c r="G2820" s="769"/>
      <c r="H2820" s="770"/>
      <c r="I2820" s="400"/>
      <c r="J2820" s="404"/>
    </row>
    <row r="2821" spans="1:10">
      <c r="A2821" s="403" t="s">
        <v>2529</v>
      </c>
      <c r="B2821" s="961" t="s">
        <v>297</v>
      </c>
      <c r="C2821" s="961"/>
      <c r="D2821" s="961"/>
      <c r="E2821" s="961"/>
      <c r="F2821" s="961"/>
      <c r="G2821" s="402"/>
      <c r="H2821" s="403" t="s">
        <v>88</v>
      </c>
    </row>
    <row r="2822" spans="1:10">
      <c r="A2822" s="398"/>
      <c r="B2822" s="230" t="s">
        <v>855</v>
      </c>
      <c r="C2822" s="231" t="s">
        <v>14</v>
      </c>
      <c r="D2822" s="401">
        <v>0.99846153846153873</v>
      </c>
      <c r="E2822" s="959">
        <f>Insumos!C801</f>
        <v>13.3588</v>
      </c>
      <c r="F2822" s="959"/>
      <c r="G2822" s="958">
        <f>ROUND(D2822*E2822,2)</f>
        <v>13.34</v>
      </c>
      <c r="H2822" s="958"/>
    </row>
    <row r="2823" spans="1:10">
      <c r="A2823" s="398"/>
      <c r="B2823" s="230" t="s">
        <v>746</v>
      </c>
      <c r="C2823" s="231" t="s">
        <v>492</v>
      </c>
      <c r="D2823" s="401">
        <v>3.5000000000000003E-2</v>
      </c>
      <c r="E2823" s="959">
        <f>Insumos!C802</f>
        <v>25.898600000000002</v>
      </c>
      <c r="F2823" s="959"/>
      <c r="G2823" s="958">
        <f>ROUND(D2823*E2823,2)</f>
        <v>0.91</v>
      </c>
      <c r="H2823" s="958"/>
    </row>
    <row r="2824" spans="1:10">
      <c r="A2824" s="398"/>
      <c r="B2824" s="230" t="s">
        <v>747</v>
      </c>
      <c r="C2824" s="231" t="s">
        <v>14</v>
      </c>
      <c r="D2824" s="401">
        <v>0.01</v>
      </c>
      <c r="E2824" s="959">
        <f>Insumos!C803</f>
        <v>30.676100000000002</v>
      </c>
      <c r="F2824" s="959"/>
      <c r="G2824" s="958">
        <f>ROUND(D2824*E2824,2)</f>
        <v>0.31</v>
      </c>
      <c r="H2824" s="958"/>
    </row>
    <row r="2825" spans="1:10" s="406" customFormat="1" ht="15">
      <c r="A2825" s="398"/>
      <c r="B2825" s="230" t="s">
        <v>704</v>
      </c>
      <c r="C2825" s="231" t="s">
        <v>112</v>
      </c>
      <c r="D2825" s="401">
        <v>0.14000000000000001</v>
      </c>
      <c r="E2825" s="959">
        <f>Insumos!C804</f>
        <v>6.4792000000000005</v>
      </c>
      <c r="F2825" s="959"/>
      <c r="G2825" s="958">
        <f>ROUND(D2825*E2825,2)</f>
        <v>0.91</v>
      </c>
      <c r="H2825" s="958"/>
      <c r="I2825" s="407"/>
      <c r="J2825" s="408"/>
    </row>
    <row r="2826" spans="1:10">
      <c r="A2826" s="398"/>
      <c r="B2826" s="230" t="s">
        <v>517</v>
      </c>
      <c r="C2826" s="231" t="s">
        <v>112</v>
      </c>
      <c r="D2826" s="401">
        <v>0.14000000000000001</v>
      </c>
      <c r="E2826" s="959">
        <f>Insumos!C805</f>
        <v>8.6722999999999999</v>
      </c>
      <c r="F2826" s="959"/>
      <c r="G2826" s="958">
        <f>ROUND(D2826*E2826,2)</f>
        <v>1.21</v>
      </c>
      <c r="H2826" s="958"/>
    </row>
    <row r="2827" spans="1:10">
      <c r="A2827" s="398"/>
      <c r="B2827" s="955" t="s">
        <v>536</v>
      </c>
      <c r="C2827" s="955"/>
      <c r="D2827" s="955"/>
      <c r="E2827" s="389"/>
      <c r="F2827" s="409"/>
      <c r="G2827" s="410"/>
      <c r="H2827" s="249">
        <f>SUM(G2822:H2824)</f>
        <v>14.56</v>
      </c>
    </row>
    <row r="2828" spans="1:10">
      <c r="A2828" s="398"/>
      <c r="B2828" s="955" t="s">
        <v>537</v>
      </c>
      <c r="C2828" s="955"/>
      <c r="D2828" s="955"/>
      <c r="E2828" s="389"/>
      <c r="F2828" s="409"/>
      <c r="G2828" s="410"/>
      <c r="H2828" s="249">
        <f>SUM(G2825:H2826)</f>
        <v>2.12</v>
      </c>
    </row>
    <row r="2829" spans="1:10">
      <c r="A2829" s="398"/>
      <c r="B2829" s="955" t="s">
        <v>1937</v>
      </c>
      <c r="C2829" s="955"/>
      <c r="D2829" s="955"/>
      <c r="E2829" s="389"/>
      <c r="F2829" s="409"/>
      <c r="G2829" s="410"/>
      <c r="H2829" s="249">
        <f>SUM(H2827:H2828)</f>
        <v>16.68</v>
      </c>
    </row>
    <row r="2830" spans="1:10">
      <c r="A2830" s="398"/>
      <c r="B2830" s="955" t="s">
        <v>538</v>
      </c>
      <c r="C2830" s="955"/>
      <c r="D2830" s="955"/>
      <c r="E2830" s="389"/>
      <c r="F2830" s="411" t="s">
        <v>539</v>
      </c>
      <c r="G2830" s="410"/>
      <c r="H2830" s="249">
        <f>ROUND(H2829*F2830,2)</f>
        <v>4.16</v>
      </c>
    </row>
    <row r="2831" spans="1:10">
      <c r="A2831" s="398"/>
      <c r="B2831" s="956" t="s">
        <v>540</v>
      </c>
      <c r="C2831" s="956"/>
      <c r="D2831" s="956"/>
      <c r="E2831" s="740"/>
      <c r="F2831" s="768"/>
      <c r="G2831" s="769"/>
      <c r="H2831" s="770">
        <f>SUM(H2829:H2830)</f>
        <v>20.84</v>
      </c>
    </row>
    <row r="2832" spans="1:10" s="579" customFormat="1">
      <c r="A2832" s="601"/>
      <c r="B2832" s="780"/>
      <c r="C2832" s="780"/>
      <c r="D2832" s="780"/>
      <c r="E2832" s="740"/>
      <c r="F2832" s="768"/>
      <c r="G2832" s="769"/>
      <c r="H2832" s="770"/>
      <c r="I2832" s="400"/>
      <c r="J2832" s="404"/>
    </row>
    <row r="2833" spans="1:10">
      <c r="A2833" s="403" t="s">
        <v>2530</v>
      </c>
      <c r="B2833" s="961" t="s">
        <v>856</v>
      </c>
      <c r="C2833" s="961"/>
      <c r="D2833" s="961"/>
      <c r="E2833" s="961"/>
      <c r="F2833" s="961"/>
      <c r="G2833" s="402"/>
      <c r="H2833" s="403" t="s">
        <v>88</v>
      </c>
    </row>
    <row r="2834" spans="1:10">
      <c r="A2834" s="398"/>
      <c r="B2834" s="230" t="s">
        <v>857</v>
      </c>
      <c r="C2834" s="231" t="s">
        <v>14</v>
      </c>
      <c r="D2834" s="401">
        <v>0.97666666666666702</v>
      </c>
      <c r="E2834" s="959">
        <f>Insumos!C806</f>
        <v>1.0010000000000001</v>
      </c>
      <c r="F2834" s="959"/>
      <c r="G2834" s="958">
        <f>ROUND(D2834*E2834,2)</f>
        <v>0.98</v>
      </c>
      <c r="H2834" s="958"/>
    </row>
    <row r="2835" spans="1:10">
      <c r="A2835" s="398"/>
      <c r="B2835" s="230" t="s">
        <v>746</v>
      </c>
      <c r="C2835" s="231" t="s">
        <v>492</v>
      </c>
      <c r="D2835" s="401">
        <v>1.18E-2</v>
      </c>
      <c r="E2835" s="959">
        <f>Insumos!C807</f>
        <v>25.898600000000002</v>
      </c>
      <c r="F2835" s="959"/>
      <c r="G2835" s="958">
        <f>ROUND(D2835*E2835,2)</f>
        <v>0.31</v>
      </c>
      <c r="H2835" s="958"/>
    </row>
    <row r="2836" spans="1:10">
      <c r="A2836" s="398"/>
      <c r="B2836" s="230" t="s">
        <v>747</v>
      </c>
      <c r="C2836" s="231" t="s">
        <v>14</v>
      </c>
      <c r="D2836" s="401">
        <v>5.0000000000000001E-3</v>
      </c>
      <c r="E2836" s="959">
        <f>Insumos!C808</f>
        <v>30.676100000000002</v>
      </c>
      <c r="F2836" s="959"/>
      <c r="G2836" s="958">
        <f>ROUND(D2836*E2836,2)</f>
        <v>0.15</v>
      </c>
      <c r="H2836" s="958"/>
    </row>
    <row r="2837" spans="1:10" s="406" customFormat="1" ht="15">
      <c r="A2837" s="398"/>
      <c r="B2837" s="230" t="s">
        <v>517</v>
      </c>
      <c r="C2837" s="231" t="s">
        <v>112</v>
      </c>
      <c r="D2837" s="401">
        <v>0.25</v>
      </c>
      <c r="E2837" s="959">
        <f>Insumos!C809</f>
        <v>8.6722999999999999</v>
      </c>
      <c r="F2837" s="959"/>
      <c r="G2837" s="958">
        <f>ROUND(D2837*E2837,2)</f>
        <v>2.17</v>
      </c>
      <c r="H2837" s="958"/>
      <c r="I2837" s="407"/>
      <c r="J2837" s="408"/>
    </row>
    <row r="2838" spans="1:10">
      <c r="A2838" s="398"/>
      <c r="B2838" s="230" t="s">
        <v>509</v>
      </c>
      <c r="C2838" s="231" t="s">
        <v>112</v>
      </c>
      <c r="D2838" s="401">
        <v>0.25</v>
      </c>
      <c r="E2838" s="959">
        <f>Insumos!C810</f>
        <v>6.4064000000000005</v>
      </c>
      <c r="F2838" s="959"/>
      <c r="G2838" s="958">
        <f>ROUND(D2838*E2838,2)</f>
        <v>1.6</v>
      </c>
      <c r="H2838" s="958"/>
    </row>
    <row r="2839" spans="1:10">
      <c r="A2839" s="398"/>
      <c r="B2839" s="955" t="s">
        <v>536</v>
      </c>
      <c r="C2839" s="955"/>
      <c r="D2839" s="955"/>
      <c r="E2839" s="389"/>
      <c r="F2839" s="409"/>
      <c r="G2839" s="410"/>
      <c r="H2839" s="249">
        <f>SUM(G2834:H2836)</f>
        <v>1.44</v>
      </c>
    </row>
    <row r="2840" spans="1:10">
      <c r="A2840" s="398"/>
      <c r="B2840" s="955" t="s">
        <v>537</v>
      </c>
      <c r="C2840" s="955"/>
      <c r="D2840" s="955"/>
      <c r="E2840" s="389"/>
      <c r="F2840" s="409"/>
      <c r="G2840" s="410"/>
      <c r="H2840" s="249">
        <f>SUM(G2837:H2838)</f>
        <v>3.77</v>
      </c>
    </row>
    <row r="2841" spans="1:10">
      <c r="A2841" s="398"/>
      <c r="B2841" s="955" t="s">
        <v>1937</v>
      </c>
      <c r="C2841" s="955"/>
      <c r="D2841" s="955"/>
      <c r="E2841" s="389"/>
      <c r="F2841" s="409"/>
      <c r="G2841" s="410"/>
      <c r="H2841" s="249">
        <f>SUM(H2839:H2840)</f>
        <v>5.21</v>
      </c>
    </row>
    <row r="2842" spans="1:10">
      <c r="A2842" s="398"/>
      <c r="B2842" s="955" t="s">
        <v>538</v>
      </c>
      <c r="C2842" s="955"/>
      <c r="D2842" s="955"/>
      <c r="E2842" s="389"/>
      <c r="F2842" s="411" t="s">
        <v>539</v>
      </c>
      <c r="G2842" s="410"/>
      <c r="H2842" s="249">
        <f>ROUND(H2841*F2842,2)</f>
        <v>1.3</v>
      </c>
    </row>
    <row r="2843" spans="1:10">
      <c r="A2843" s="398"/>
      <c r="B2843" s="956" t="s">
        <v>540</v>
      </c>
      <c r="C2843" s="956"/>
      <c r="D2843" s="956"/>
      <c r="E2843" s="740"/>
      <c r="F2843" s="768"/>
      <c r="G2843" s="769"/>
      <c r="H2843" s="770">
        <f>SUM(H2841:H2842)</f>
        <v>6.51</v>
      </c>
    </row>
    <row r="2844" spans="1:10" s="579" customFormat="1">
      <c r="A2844" s="601"/>
      <c r="B2844" s="780"/>
      <c r="C2844" s="780"/>
      <c r="D2844" s="780"/>
      <c r="E2844" s="740"/>
      <c r="F2844" s="768"/>
      <c r="G2844" s="769"/>
      <c r="H2844" s="770"/>
      <c r="I2844" s="400"/>
      <c r="J2844" s="404"/>
    </row>
    <row r="2845" spans="1:10">
      <c r="A2845" s="403" t="s">
        <v>2531</v>
      </c>
      <c r="B2845" s="961" t="s">
        <v>858</v>
      </c>
      <c r="C2845" s="961"/>
      <c r="D2845" s="961"/>
      <c r="E2845" s="961"/>
      <c r="F2845" s="961"/>
      <c r="G2845" s="402"/>
      <c r="H2845" s="403" t="s">
        <v>88</v>
      </c>
    </row>
    <row r="2846" spans="1:10">
      <c r="A2846" s="398"/>
      <c r="B2846" s="230" t="s">
        <v>746</v>
      </c>
      <c r="C2846" s="231" t="s">
        <v>492</v>
      </c>
      <c r="D2846" s="401">
        <v>1.9E-2</v>
      </c>
      <c r="E2846" s="964">
        <f>Insumos!C811</f>
        <v>25.898600000000002</v>
      </c>
      <c r="F2846" s="964"/>
      <c r="G2846" s="958">
        <f>ROUND(D2846*E2846,2)</f>
        <v>0.49</v>
      </c>
      <c r="H2846" s="958"/>
    </row>
    <row r="2847" spans="1:10">
      <c r="A2847" s="398"/>
      <c r="B2847" s="230" t="s">
        <v>859</v>
      </c>
      <c r="C2847" s="231" t="s">
        <v>14</v>
      </c>
      <c r="D2847" s="401">
        <v>0.98499999999999954</v>
      </c>
      <c r="E2847" s="964">
        <f>Insumos!C812</f>
        <v>1.6744000000000001</v>
      </c>
      <c r="F2847" s="964"/>
      <c r="G2847" s="958">
        <f>ROUND(D2847*E2847,2)</f>
        <v>1.65</v>
      </c>
      <c r="H2847" s="958"/>
    </row>
    <row r="2848" spans="1:10">
      <c r="A2848" s="398"/>
      <c r="B2848" s="230" t="s">
        <v>747</v>
      </c>
      <c r="C2848" s="231" t="s">
        <v>14</v>
      </c>
      <c r="D2848" s="401">
        <v>6.3700000000000145E-3</v>
      </c>
      <c r="E2848" s="964">
        <f>Insumos!C813</f>
        <v>30.676100000000002</v>
      </c>
      <c r="F2848" s="964"/>
      <c r="G2848" s="958">
        <f>ROUND(D2848*E2848,2)</f>
        <v>0.2</v>
      </c>
      <c r="H2848" s="958"/>
    </row>
    <row r="2849" spans="1:10" s="406" customFormat="1" ht="15">
      <c r="A2849" s="398"/>
      <c r="B2849" s="230" t="s">
        <v>517</v>
      </c>
      <c r="C2849" s="231" t="s">
        <v>112</v>
      </c>
      <c r="D2849" s="401">
        <v>0.27</v>
      </c>
      <c r="E2849" s="964">
        <f>Insumos!C814</f>
        <v>8.6722999999999999</v>
      </c>
      <c r="F2849" s="964"/>
      <c r="G2849" s="958">
        <f>ROUND(D2849*E2849,2)</f>
        <v>2.34</v>
      </c>
      <c r="H2849" s="958"/>
      <c r="I2849" s="407"/>
      <c r="J2849" s="408"/>
    </row>
    <row r="2850" spans="1:10">
      <c r="A2850" s="398"/>
      <c r="B2850" s="230" t="s">
        <v>509</v>
      </c>
      <c r="C2850" s="231" t="s">
        <v>112</v>
      </c>
      <c r="D2850" s="401">
        <v>0.27</v>
      </c>
      <c r="E2850" s="964">
        <f>Insumos!C815</f>
        <v>6.4064000000000005</v>
      </c>
      <c r="F2850" s="964"/>
      <c r="G2850" s="958">
        <f>ROUND(D2850*E2850,2)</f>
        <v>1.73</v>
      </c>
      <c r="H2850" s="958"/>
    </row>
    <row r="2851" spans="1:10">
      <c r="A2851" s="398"/>
      <c r="B2851" s="955" t="s">
        <v>536</v>
      </c>
      <c r="C2851" s="955"/>
      <c r="D2851" s="955"/>
      <c r="E2851" s="389"/>
      <c r="F2851" s="409"/>
      <c r="G2851" s="410"/>
      <c r="H2851" s="249">
        <f>SUM(G2846:H2848)</f>
        <v>2.34</v>
      </c>
    </row>
    <row r="2852" spans="1:10">
      <c r="A2852" s="398"/>
      <c r="B2852" s="955" t="s">
        <v>537</v>
      </c>
      <c r="C2852" s="955"/>
      <c r="D2852" s="955"/>
      <c r="E2852" s="389"/>
      <c r="F2852" s="409"/>
      <c r="G2852" s="410"/>
      <c r="H2852" s="249">
        <f>SUM(G2849:H2850)</f>
        <v>4.07</v>
      </c>
    </row>
    <row r="2853" spans="1:10">
      <c r="A2853" s="398"/>
      <c r="B2853" s="955" t="s">
        <v>1937</v>
      </c>
      <c r="C2853" s="955"/>
      <c r="D2853" s="955"/>
      <c r="E2853" s="389"/>
      <c r="F2853" s="409"/>
      <c r="G2853" s="410"/>
      <c r="H2853" s="249">
        <f>SUM(H2851:H2852)</f>
        <v>6.41</v>
      </c>
    </row>
    <row r="2854" spans="1:10">
      <c r="A2854" s="398"/>
      <c r="B2854" s="955" t="s">
        <v>538</v>
      </c>
      <c r="C2854" s="955"/>
      <c r="D2854" s="955"/>
      <c r="E2854" s="389"/>
      <c r="F2854" s="411" t="s">
        <v>539</v>
      </c>
      <c r="G2854" s="410"/>
      <c r="H2854" s="249">
        <f>ROUND(H2853*F2854,2)</f>
        <v>1.6</v>
      </c>
    </row>
    <row r="2855" spans="1:10">
      <c r="A2855" s="398"/>
      <c r="B2855" s="956" t="s">
        <v>540</v>
      </c>
      <c r="C2855" s="956"/>
      <c r="D2855" s="956"/>
      <c r="E2855" s="740"/>
      <c r="F2855" s="768"/>
      <c r="G2855" s="769"/>
      <c r="H2855" s="770">
        <f>SUM(H2853:H2854)</f>
        <v>8.01</v>
      </c>
    </row>
    <row r="2856" spans="1:10" s="579" customFormat="1">
      <c r="A2856" s="601"/>
      <c r="B2856" s="780"/>
      <c r="C2856" s="780"/>
      <c r="D2856" s="780"/>
      <c r="E2856" s="740"/>
      <c r="F2856" s="768"/>
      <c r="G2856" s="769"/>
      <c r="H2856" s="770"/>
      <c r="I2856" s="400"/>
      <c r="J2856" s="404"/>
    </row>
    <row r="2857" spans="1:10">
      <c r="A2857" s="403" t="s">
        <v>2532</v>
      </c>
      <c r="B2857" s="961" t="s">
        <v>860</v>
      </c>
      <c r="C2857" s="961"/>
      <c r="D2857" s="961"/>
      <c r="E2857" s="961"/>
      <c r="F2857" s="961"/>
      <c r="G2857" s="402"/>
      <c r="H2857" s="403" t="s">
        <v>88</v>
      </c>
    </row>
    <row r="2858" spans="1:10">
      <c r="A2858" s="398"/>
      <c r="B2858" s="230" t="s">
        <v>861</v>
      </c>
      <c r="C2858" s="231" t="s">
        <v>492</v>
      </c>
      <c r="D2858" s="401">
        <v>1</v>
      </c>
      <c r="E2858" s="959">
        <f>Insumos!C816</f>
        <v>3.64</v>
      </c>
      <c r="F2858" s="959"/>
      <c r="G2858" s="958">
        <f>ROUND(D2858*E2858,2)</f>
        <v>3.64</v>
      </c>
      <c r="H2858" s="958"/>
    </row>
    <row r="2859" spans="1:10">
      <c r="A2859" s="398"/>
      <c r="B2859" s="230" t="s">
        <v>746</v>
      </c>
      <c r="C2859" s="231" t="s">
        <v>492</v>
      </c>
      <c r="D2859" s="401">
        <v>3.5299999999999998E-2</v>
      </c>
      <c r="E2859" s="959">
        <f>Insumos!C817</f>
        <v>25.898600000000002</v>
      </c>
      <c r="F2859" s="959"/>
      <c r="G2859" s="958">
        <f>ROUND(D2859*E2859,2)</f>
        <v>0.91</v>
      </c>
      <c r="H2859" s="958"/>
    </row>
    <row r="2860" spans="1:10">
      <c r="A2860" s="398"/>
      <c r="B2860" s="230" t="s">
        <v>747</v>
      </c>
      <c r="C2860" s="231" t="s">
        <v>14</v>
      </c>
      <c r="D2860" s="401">
        <v>1.4999999999999999E-2</v>
      </c>
      <c r="E2860" s="959">
        <f>Insumos!C818</f>
        <v>30.676100000000002</v>
      </c>
      <c r="F2860" s="959"/>
      <c r="G2860" s="958">
        <f>ROUND(D2860*E2860,2)</f>
        <v>0.46</v>
      </c>
      <c r="H2860" s="958"/>
    </row>
    <row r="2861" spans="1:10" s="406" customFormat="1" ht="15">
      <c r="A2861" s="398"/>
      <c r="B2861" s="230" t="s">
        <v>517</v>
      </c>
      <c r="C2861" s="231" t="s">
        <v>112</v>
      </c>
      <c r="D2861" s="401">
        <v>0.33660000000000001</v>
      </c>
      <c r="E2861" s="959">
        <f>Insumos!C819</f>
        <v>8.6722999999999999</v>
      </c>
      <c r="F2861" s="959"/>
      <c r="G2861" s="958">
        <f>ROUND(D2861*E2861,2)</f>
        <v>2.92</v>
      </c>
      <c r="H2861" s="958"/>
      <c r="I2861" s="407"/>
      <c r="J2861" s="408"/>
    </row>
    <row r="2862" spans="1:10">
      <c r="A2862" s="398"/>
      <c r="B2862" s="230" t="s">
        <v>509</v>
      </c>
      <c r="C2862" s="231" t="s">
        <v>112</v>
      </c>
      <c r="D2862" s="401">
        <v>0.34</v>
      </c>
      <c r="E2862" s="959">
        <f>Insumos!C820</f>
        <v>6.4064000000000005</v>
      </c>
      <c r="F2862" s="959"/>
      <c r="G2862" s="958">
        <f>ROUND(D2862*E2862,2)</f>
        <v>2.1800000000000002</v>
      </c>
      <c r="H2862" s="958"/>
    </row>
    <row r="2863" spans="1:10">
      <c r="A2863" s="398"/>
      <c r="B2863" s="955" t="s">
        <v>536</v>
      </c>
      <c r="C2863" s="955"/>
      <c r="D2863" s="955"/>
      <c r="E2863" s="389"/>
      <c r="F2863" s="409"/>
      <c r="G2863" s="410"/>
      <c r="H2863" s="249">
        <f>SUM(G2858:H2860)</f>
        <v>5.01</v>
      </c>
    </row>
    <row r="2864" spans="1:10">
      <c r="A2864" s="398"/>
      <c r="B2864" s="955" t="s">
        <v>537</v>
      </c>
      <c r="C2864" s="955"/>
      <c r="D2864" s="955"/>
      <c r="E2864" s="389"/>
      <c r="F2864" s="409"/>
      <c r="G2864" s="410"/>
      <c r="H2864" s="249">
        <f>SUM(G2861:H2862)</f>
        <v>5.0999999999999996</v>
      </c>
    </row>
    <row r="2865" spans="1:10">
      <c r="A2865" s="398"/>
      <c r="B2865" s="955" t="s">
        <v>1937</v>
      </c>
      <c r="C2865" s="955"/>
      <c r="D2865" s="955"/>
      <c r="E2865" s="389"/>
      <c r="F2865" s="409"/>
      <c r="G2865" s="410"/>
      <c r="H2865" s="249">
        <f>SUM(H2863:H2864)</f>
        <v>10.11</v>
      </c>
    </row>
    <row r="2866" spans="1:10">
      <c r="A2866" s="398"/>
      <c r="B2866" s="955" t="s">
        <v>538</v>
      </c>
      <c r="C2866" s="955"/>
      <c r="D2866" s="955"/>
      <c r="E2866" s="389"/>
      <c r="F2866" s="411" t="s">
        <v>539</v>
      </c>
      <c r="G2866" s="410"/>
      <c r="H2866" s="249">
        <f>ROUND(H2865*F2866,2)</f>
        <v>2.52</v>
      </c>
    </row>
    <row r="2867" spans="1:10">
      <c r="A2867" s="398"/>
      <c r="B2867" s="956" t="s">
        <v>540</v>
      </c>
      <c r="C2867" s="956"/>
      <c r="D2867" s="956"/>
      <c r="E2867" s="740"/>
      <c r="F2867" s="768"/>
      <c r="G2867" s="769"/>
      <c r="H2867" s="770">
        <f>SUM(H2865:H2866)</f>
        <v>12.629999999999999</v>
      </c>
    </row>
    <row r="2868" spans="1:10" s="579" customFormat="1">
      <c r="A2868" s="601"/>
      <c r="B2868" s="780"/>
      <c r="C2868" s="780"/>
      <c r="D2868" s="780"/>
      <c r="E2868" s="740"/>
      <c r="F2868" s="768"/>
      <c r="G2868" s="769"/>
      <c r="H2868" s="770"/>
      <c r="I2868" s="400"/>
      <c r="J2868" s="404"/>
    </row>
    <row r="2869" spans="1:10">
      <c r="A2869" s="403" t="s">
        <v>2533</v>
      </c>
      <c r="B2869" s="961" t="s">
        <v>862</v>
      </c>
      <c r="C2869" s="961"/>
      <c r="D2869" s="961"/>
      <c r="E2869" s="961"/>
      <c r="F2869" s="961"/>
      <c r="G2869" s="402"/>
      <c r="H2869" s="403" t="s">
        <v>88</v>
      </c>
    </row>
    <row r="2870" spans="1:10">
      <c r="A2870" s="398"/>
      <c r="B2870" s="230" t="s">
        <v>863</v>
      </c>
      <c r="C2870" s="231" t="s">
        <v>14</v>
      </c>
      <c r="D2870" s="436">
        <v>1</v>
      </c>
      <c r="E2870" s="959">
        <f>Insumos!C821</f>
        <v>3.9676000000000005</v>
      </c>
      <c r="F2870" s="959"/>
      <c r="G2870" s="958">
        <f>ROUND(D2870*E2870,2)</f>
        <v>3.97</v>
      </c>
      <c r="H2870" s="958"/>
    </row>
    <row r="2871" spans="1:10" s="406" customFormat="1" ht="15">
      <c r="A2871" s="398"/>
      <c r="B2871" s="230" t="s">
        <v>746</v>
      </c>
      <c r="C2871" s="231" t="s">
        <v>492</v>
      </c>
      <c r="D2871" s="436">
        <v>5.2999999999999999E-2</v>
      </c>
      <c r="E2871" s="959">
        <f>Insumos!C822</f>
        <v>25.898600000000002</v>
      </c>
      <c r="F2871" s="959"/>
      <c r="G2871" s="958">
        <f>ROUND(D2871*E2871,2)</f>
        <v>1.37</v>
      </c>
      <c r="H2871" s="958"/>
      <c r="I2871" s="407"/>
      <c r="J2871" s="408"/>
    </row>
    <row r="2872" spans="1:10">
      <c r="A2872" s="398"/>
      <c r="B2872" s="230" t="s">
        <v>747</v>
      </c>
      <c r="C2872" s="231" t="s">
        <v>14</v>
      </c>
      <c r="D2872" s="436">
        <v>0.03</v>
      </c>
      <c r="E2872" s="959">
        <f>Insumos!C823</f>
        <v>30.676100000000002</v>
      </c>
      <c r="F2872" s="959"/>
      <c r="G2872" s="958">
        <f>ROUND(D2872*E2872,2)</f>
        <v>0.92</v>
      </c>
      <c r="H2872" s="958"/>
    </row>
    <row r="2873" spans="1:10">
      <c r="A2873" s="398"/>
      <c r="B2873" s="230" t="s">
        <v>517</v>
      </c>
      <c r="C2873" s="231" t="s">
        <v>112</v>
      </c>
      <c r="D2873" s="436">
        <v>0.39866666666666667</v>
      </c>
      <c r="E2873" s="959">
        <f>Insumos!C824</f>
        <v>8.6722999999999999</v>
      </c>
      <c r="F2873" s="959"/>
      <c r="G2873" s="958">
        <f>ROUND(D2873*E2873,2)</f>
        <v>3.46</v>
      </c>
      <c r="H2873" s="958"/>
    </row>
    <row r="2874" spans="1:10">
      <c r="A2874" s="398"/>
      <c r="B2874" s="230" t="s">
        <v>509</v>
      </c>
      <c r="C2874" s="231" t="s">
        <v>112</v>
      </c>
      <c r="D2874" s="436">
        <v>0.4</v>
      </c>
      <c r="E2874" s="959">
        <f>Insumos!C825</f>
        <v>6.4064000000000005</v>
      </c>
      <c r="F2874" s="959"/>
      <c r="G2874" s="958">
        <f>ROUND(D2874*E2874,2)</f>
        <v>2.56</v>
      </c>
      <c r="H2874" s="958"/>
    </row>
    <row r="2875" spans="1:10">
      <c r="A2875" s="398"/>
      <c r="B2875" s="955" t="s">
        <v>536</v>
      </c>
      <c r="C2875" s="955"/>
      <c r="D2875" s="955"/>
      <c r="E2875" s="389"/>
      <c r="F2875" s="409"/>
      <c r="G2875" s="410"/>
      <c r="H2875" s="249">
        <f>SUM(G2870:H2872)</f>
        <v>6.26</v>
      </c>
    </row>
    <row r="2876" spans="1:10">
      <c r="A2876" s="398"/>
      <c r="B2876" s="955" t="s">
        <v>537</v>
      </c>
      <c r="C2876" s="955"/>
      <c r="D2876" s="955"/>
      <c r="E2876" s="389"/>
      <c r="F2876" s="409"/>
      <c r="G2876" s="410"/>
      <c r="H2876" s="249">
        <f>SUM(G2873:H2874)</f>
        <v>6.02</v>
      </c>
    </row>
    <row r="2877" spans="1:10">
      <c r="A2877" s="398"/>
      <c r="B2877" s="955" t="s">
        <v>1937</v>
      </c>
      <c r="C2877" s="955"/>
      <c r="D2877" s="955"/>
      <c r="E2877" s="389"/>
      <c r="F2877" s="409"/>
      <c r="G2877" s="410"/>
      <c r="H2877" s="249">
        <f>SUM(H2875:H2876)</f>
        <v>12.28</v>
      </c>
    </row>
    <row r="2878" spans="1:10">
      <c r="A2878" s="398"/>
      <c r="B2878" s="955" t="s">
        <v>538</v>
      </c>
      <c r="C2878" s="955"/>
      <c r="D2878" s="955"/>
      <c r="E2878" s="389"/>
      <c r="F2878" s="411" t="s">
        <v>539</v>
      </c>
      <c r="G2878" s="410"/>
      <c r="H2878" s="249">
        <f t="shared" ref="H2878" si="94">ROUND(H2877*F2878,2)</f>
        <v>3.07</v>
      </c>
    </row>
    <row r="2879" spans="1:10">
      <c r="A2879" s="398"/>
      <c r="B2879" s="956" t="s">
        <v>540</v>
      </c>
      <c r="C2879" s="956"/>
      <c r="D2879" s="956"/>
      <c r="E2879" s="740"/>
      <c r="F2879" s="768"/>
      <c r="G2879" s="769"/>
      <c r="H2879" s="770">
        <f>SUM(H2877:H2878)</f>
        <v>15.35</v>
      </c>
    </row>
    <row r="2880" spans="1:10" s="579" customFormat="1">
      <c r="A2880" s="601"/>
      <c r="B2880" s="780"/>
      <c r="C2880" s="780"/>
      <c r="D2880" s="780"/>
      <c r="E2880" s="740"/>
      <c r="F2880" s="768"/>
      <c r="G2880" s="769"/>
      <c r="H2880" s="770"/>
      <c r="I2880" s="400"/>
      <c r="J2880" s="404"/>
    </row>
    <row r="2881" spans="1:10" s="406" customFormat="1" ht="15">
      <c r="A2881" s="403" t="s">
        <v>2534</v>
      </c>
      <c r="B2881" s="961" t="s">
        <v>864</v>
      </c>
      <c r="C2881" s="961"/>
      <c r="D2881" s="961"/>
      <c r="E2881" s="961"/>
      <c r="F2881" s="961"/>
      <c r="G2881" s="402"/>
      <c r="H2881" s="403" t="s">
        <v>88</v>
      </c>
      <c r="I2881" s="407"/>
      <c r="J2881" s="408"/>
    </row>
    <row r="2882" spans="1:10">
      <c r="A2882" s="398"/>
      <c r="B2882" s="230" t="s">
        <v>746</v>
      </c>
      <c r="C2882" s="231" t="s">
        <v>492</v>
      </c>
      <c r="D2882" s="401">
        <v>1.84E-2</v>
      </c>
      <c r="E2882" s="964">
        <f>Insumos!C826</f>
        <v>25.898600000000002</v>
      </c>
      <c r="F2882" s="964"/>
      <c r="G2882" s="958">
        <f>ROUND(D2882*E2882,2)</f>
        <v>0.48</v>
      </c>
      <c r="H2882" s="958"/>
    </row>
    <row r="2883" spans="1:10">
      <c r="A2883" s="398"/>
      <c r="B2883" s="230" t="s">
        <v>747</v>
      </c>
      <c r="C2883" s="231" t="s">
        <v>14</v>
      </c>
      <c r="D2883" s="401">
        <v>7.0000000000000001E-3</v>
      </c>
      <c r="E2883" s="964">
        <f>Insumos!C827</f>
        <v>30.676100000000002</v>
      </c>
      <c r="F2883" s="964"/>
      <c r="G2883" s="958">
        <f>ROUND(D2883*E2883,2)</f>
        <v>0.21</v>
      </c>
      <c r="H2883" s="958"/>
    </row>
    <row r="2884" spans="1:10">
      <c r="A2884" s="398"/>
      <c r="B2884" s="230" t="s">
        <v>865</v>
      </c>
      <c r="C2884" s="231" t="s">
        <v>14</v>
      </c>
      <c r="D2884" s="401">
        <v>0.96750000000000003</v>
      </c>
      <c r="E2884" s="964">
        <f>Insumos!C828</f>
        <v>1.3012999999999999</v>
      </c>
      <c r="F2884" s="964"/>
      <c r="G2884" s="958">
        <f>ROUND(D2884*E2884,2)</f>
        <v>1.26</v>
      </c>
      <c r="H2884" s="958"/>
    </row>
    <row r="2885" spans="1:10">
      <c r="A2885" s="398"/>
      <c r="B2885" s="230" t="s">
        <v>517</v>
      </c>
      <c r="C2885" s="231" t="s">
        <v>112</v>
      </c>
      <c r="D2885" s="401">
        <v>0.27</v>
      </c>
      <c r="E2885" s="964">
        <f>Insumos!C829</f>
        <v>8.6722999999999999</v>
      </c>
      <c r="F2885" s="964"/>
      <c r="G2885" s="958">
        <f>ROUND(D2885*E2885,2)</f>
        <v>2.34</v>
      </c>
      <c r="H2885" s="958"/>
    </row>
    <row r="2886" spans="1:10">
      <c r="A2886" s="398"/>
      <c r="B2886" s="230" t="s">
        <v>509</v>
      </c>
      <c r="C2886" s="231" t="s">
        <v>112</v>
      </c>
      <c r="D2886" s="401">
        <v>0.27</v>
      </c>
      <c r="E2886" s="964">
        <f>Insumos!C830</f>
        <v>6.4064000000000005</v>
      </c>
      <c r="F2886" s="964"/>
      <c r="G2886" s="958">
        <f>ROUND(D2886*E2886,2)</f>
        <v>1.73</v>
      </c>
      <c r="H2886" s="958"/>
    </row>
    <row r="2887" spans="1:10">
      <c r="A2887" s="398"/>
      <c r="B2887" s="955" t="s">
        <v>536</v>
      </c>
      <c r="C2887" s="955"/>
      <c r="D2887" s="955"/>
      <c r="E2887" s="389"/>
      <c r="F2887" s="409"/>
      <c r="G2887" s="410"/>
      <c r="H2887" s="249">
        <f>SUM(G2882:H2884)</f>
        <v>1.95</v>
      </c>
    </row>
    <row r="2888" spans="1:10">
      <c r="A2888" s="398"/>
      <c r="B2888" s="955" t="s">
        <v>537</v>
      </c>
      <c r="C2888" s="955"/>
      <c r="D2888" s="955"/>
      <c r="E2888" s="389"/>
      <c r="F2888" s="409"/>
      <c r="G2888" s="410"/>
      <c r="H2888" s="249">
        <f>SUM(G2885:H2886)</f>
        <v>4.07</v>
      </c>
    </row>
    <row r="2889" spans="1:10">
      <c r="A2889" s="398"/>
      <c r="B2889" s="955" t="s">
        <v>1937</v>
      </c>
      <c r="C2889" s="955"/>
      <c r="D2889" s="955"/>
      <c r="E2889" s="389"/>
      <c r="F2889" s="409"/>
      <c r="G2889" s="410"/>
      <c r="H2889" s="249">
        <f>SUM(H2887:H2888)</f>
        <v>6.0200000000000005</v>
      </c>
    </row>
    <row r="2890" spans="1:10" s="406" customFormat="1" ht="15">
      <c r="A2890" s="398"/>
      <c r="B2890" s="955" t="s">
        <v>538</v>
      </c>
      <c r="C2890" s="955"/>
      <c r="D2890" s="955"/>
      <c r="E2890" s="389"/>
      <c r="F2890" s="411" t="s">
        <v>539</v>
      </c>
      <c r="G2890" s="410"/>
      <c r="H2890" s="249">
        <f t="shared" ref="H2890" si="95">ROUND(H2889*F2890,2)</f>
        <v>1.5</v>
      </c>
      <c r="I2890" s="407"/>
      <c r="J2890" s="408"/>
    </row>
    <row r="2891" spans="1:10">
      <c r="A2891" s="398"/>
      <c r="B2891" s="956" t="s">
        <v>540</v>
      </c>
      <c r="C2891" s="956"/>
      <c r="D2891" s="956"/>
      <c r="E2891" s="740"/>
      <c r="F2891" s="768"/>
      <c r="G2891" s="769"/>
      <c r="H2891" s="770">
        <f>SUM(H2889:H2890)</f>
        <v>7.5200000000000005</v>
      </c>
    </row>
    <row r="2892" spans="1:10" s="579" customFormat="1">
      <c r="A2892" s="601"/>
      <c r="B2892" s="780"/>
      <c r="C2892" s="780"/>
      <c r="D2892" s="780"/>
      <c r="E2892" s="740"/>
      <c r="F2892" s="768"/>
      <c r="G2892" s="769"/>
      <c r="H2892" s="770"/>
      <c r="I2892" s="400"/>
      <c r="J2892" s="404"/>
    </row>
    <row r="2893" spans="1:10">
      <c r="A2893" s="403" t="s">
        <v>2535</v>
      </c>
      <c r="B2893" s="961" t="s">
        <v>866</v>
      </c>
      <c r="C2893" s="961"/>
      <c r="D2893" s="961"/>
      <c r="E2893" s="961"/>
      <c r="F2893" s="961"/>
      <c r="G2893" s="402"/>
      <c r="H2893" s="403" t="s">
        <v>88</v>
      </c>
    </row>
    <row r="2894" spans="1:10">
      <c r="A2894" s="398"/>
      <c r="B2894" s="230" t="s">
        <v>746</v>
      </c>
      <c r="C2894" s="231" t="s">
        <v>492</v>
      </c>
      <c r="D2894" s="436">
        <v>5.2999999999999999E-2</v>
      </c>
      <c r="E2894" s="964">
        <f>Insumos!C831</f>
        <v>25.898600000000002</v>
      </c>
      <c r="F2894" s="964"/>
      <c r="G2894" s="958">
        <f>ROUND(D2894*E2894,2)</f>
        <v>1.37</v>
      </c>
      <c r="H2894" s="958"/>
    </row>
    <row r="2895" spans="1:10">
      <c r="A2895" s="398"/>
      <c r="B2895" s="230" t="s">
        <v>747</v>
      </c>
      <c r="C2895" s="231" t="s">
        <v>14</v>
      </c>
      <c r="D2895" s="436">
        <v>2.9399999999999999E-2</v>
      </c>
      <c r="E2895" s="964">
        <f>Insumos!C832</f>
        <v>30.676100000000002</v>
      </c>
      <c r="F2895" s="964"/>
      <c r="G2895" s="958">
        <f>ROUND(D2895*E2895,2)</f>
        <v>0.9</v>
      </c>
      <c r="H2895" s="958"/>
    </row>
    <row r="2896" spans="1:10">
      <c r="A2896" s="398"/>
      <c r="B2896" s="230" t="s">
        <v>867</v>
      </c>
      <c r="C2896" s="231" t="s">
        <v>14</v>
      </c>
      <c r="D2896" s="436">
        <v>1</v>
      </c>
      <c r="E2896" s="964">
        <f>Insumos!C833</f>
        <v>4.3043000000000005</v>
      </c>
      <c r="F2896" s="964"/>
      <c r="G2896" s="958">
        <f>ROUND(D2896*E2896,2)</f>
        <v>4.3</v>
      </c>
      <c r="H2896" s="958"/>
    </row>
    <row r="2897" spans="1:10">
      <c r="A2897" s="398"/>
      <c r="B2897" s="230" t="s">
        <v>509</v>
      </c>
      <c r="C2897" s="231" t="s">
        <v>112</v>
      </c>
      <c r="D2897" s="436">
        <v>0.4</v>
      </c>
      <c r="E2897" s="964">
        <f>Insumos!C834</f>
        <v>6.4064000000000005</v>
      </c>
      <c r="F2897" s="964"/>
      <c r="G2897" s="958">
        <f>ROUND(D2897*E2897,2)</f>
        <v>2.56</v>
      </c>
      <c r="H2897" s="958"/>
    </row>
    <row r="2898" spans="1:10">
      <c r="A2898" s="398"/>
      <c r="B2898" s="230" t="s">
        <v>517</v>
      </c>
      <c r="C2898" s="231" t="s">
        <v>112</v>
      </c>
      <c r="D2898" s="436">
        <v>0.4</v>
      </c>
      <c r="E2898" s="964">
        <f>Insumos!C835</f>
        <v>8.6722999999999999</v>
      </c>
      <c r="F2898" s="964"/>
      <c r="G2898" s="958">
        <f>ROUND(D2898*E2898,2)</f>
        <v>3.47</v>
      </c>
      <c r="H2898" s="958"/>
    </row>
    <row r="2899" spans="1:10">
      <c r="A2899" s="398"/>
      <c r="B2899" s="955" t="s">
        <v>536</v>
      </c>
      <c r="C2899" s="955"/>
      <c r="D2899" s="955"/>
      <c r="E2899" s="389"/>
      <c r="F2899" s="409"/>
      <c r="G2899" s="410"/>
      <c r="H2899" s="249">
        <f>SUM(G2894:H2896)</f>
        <v>6.57</v>
      </c>
    </row>
    <row r="2900" spans="1:10">
      <c r="A2900" s="398"/>
      <c r="B2900" s="955" t="s">
        <v>537</v>
      </c>
      <c r="C2900" s="955"/>
      <c r="D2900" s="955"/>
      <c r="E2900" s="389"/>
      <c r="F2900" s="409"/>
      <c r="G2900" s="410"/>
      <c r="H2900" s="249">
        <f>SUM(G2897:H2898)</f>
        <v>6.03</v>
      </c>
    </row>
    <row r="2901" spans="1:10">
      <c r="A2901" s="398"/>
      <c r="B2901" s="955" t="s">
        <v>1937</v>
      </c>
      <c r="C2901" s="955"/>
      <c r="D2901" s="955"/>
      <c r="E2901" s="389"/>
      <c r="F2901" s="409"/>
      <c r="G2901" s="410"/>
      <c r="H2901" s="249">
        <f>SUM(H2899:H2900)</f>
        <v>12.600000000000001</v>
      </c>
    </row>
    <row r="2902" spans="1:10" s="406" customFormat="1" ht="15">
      <c r="A2902" s="398"/>
      <c r="B2902" s="955" t="s">
        <v>538</v>
      </c>
      <c r="C2902" s="955"/>
      <c r="D2902" s="955"/>
      <c r="E2902" s="389"/>
      <c r="F2902" s="411" t="s">
        <v>539</v>
      </c>
      <c r="G2902" s="410"/>
      <c r="H2902" s="249">
        <f t="shared" ref="H2902" si="96">ROUND(H2901*F2902,2)</f>
        <v>3.14</v>
      </c>
      <c r="I2902" s="407"/>
      <c r="J2902" s="408"/>
    </row>
    <row r="2903" spans="1:10">
      <c r="A2903" s="398"/>
      <c r="B2903" s="956" t="s">
        <v>540</v>
      </c>
      <c r="C2903" s="956"/>
      <c r="D2903" s="956"/>
      <c r="E2903" s="740"/>
      <c r="F2903" s="768"/>
      <c r="G2903" s="769"/>
      <c r="H2903" s="770">
        <f>SUM(H2901:H2902)</f>
        <v>15.740000000000002</v>
      </c>
    </row>
    <row r="2904" spans="1:10" s="579" customFormat="1">
      <c r="A2904" s="601"/>
      <c r="B2904" s="780"/>
      <c r="C2904" s="780"/>
      <c r="D2904" s="780"/>
      <c r="E2904" s="740"/>
      <c r="F2904" s="768"/>
      <c r="G2904" s="769"/>
      <c r="H2904" s="770"/>
      <c r="I2904" s="400"/>
      <c r="J2904" s="404"/>
    </row>
    <row r="2905" spans="1:10">
      <c r="A2905" s="403" t="s">
        <v>2536</v>
      </c>
      <c r="B2905" s="961" t="s">
        <v>860</v>
      </c>
      <c r="C2905" s="961"/>
      <c r="D2905" s="961"/>
      <c r="E2905" s="961"/>
      <c r="F2905" s="961"/>
      <c r="G2905" s="402"/>
      <c r="H2905" s="403" t="s">
        <v>88</v>
      </c>
    </row>
    <row r="2906" spans="1:10">
      <c r="A2906" s="398"/>
      <c r="B2906" s="230" t="s">
        <v>746</v>
      </c>
      <c r="C2906" s="231" t="s">
        <v>492</v>
      </c>
      <c r="D2906" s="401">
        <v>3.5299999999999998E-2</v>
      </c>
      <c r="E2906" s="964">
        <f>Insumos!C836</f>
        <v>25.898600000000002</v>
      </c>
      <c r="F2906" s="964"/>
      <c r="G2906" s="958">
        <f>ROUND(D2906*E2906,2)</f>
        <v>0.91</v>
      </c>
      <c r="H2906" s="958"/>
    </row>
    <row r="2907" spans="1:10">
      <c r="A2907" s="398"/>
      <c r="B2907" s="230" t="s">
        <v>747</v>
      </c>
      <c r="C2907" s="231" t="s">
        <v>14</v>
      </c>
      <c r="D2907" s="401">
        <v>1.4999999999999999E-2</v>
      </c>
      <c r="E2907" s="964">
        <f>Insumos!C837</f>
        <v>30.676100000000002</v>
      </c>
      <c r="F2907" s="964"/>
      <c r="G2907" s="958">
        <f>ROUND(D2907*E2907,2)</f>
        <v>0.46</v>
      </c>
      <c r="H2907" s="958"/>
    </row>
    <row r="2908" spans="1:10">
      <c r="A2908" s="398"/>
      <c r="B2908" s="230" t="s">
        <v>868</v>
      </c>
      <c r="C2908" s="231" t="s">
        <v>14</v>
      </c>
      <c r="D2908" s="401">
        <v>0.99750000000000005</v>
      </c>
      <c r="E2908" s="964">
        <f>Insumos!C838</f>
        <v>3.1577000000000002</v>
      </c>
      <c r="F2908" s="964"/>
      <c r="G2908" s="958">
        <f>ROUND(D2908*E2908,2)</f>
        <v>3.15</v>
      </c>
      <c r="H2908" s="958"/>
    </row>
    <row r="2909" spans="1:10">
      <c r="A2909" s="398"/>
      <c r="B2909" s="230" t="s">
        <v>517</v>
      </c>
      <c r="C2909" s="231" t="s">
        <v>112</v>
      </c>
      <c r="D2909" s="401">
        <v>0.34</v>
      </c>
      <c r="E2909" s="964">
        <f>Insumos!C839</f>
        <v>8.6722999999999999</v>
      </c>
      <c r="F2909" s="964"/>
      <c r="G2909" s="958">
        <f>ROUND(D2909*E2909,2)</f>
        <v>2.95</v>
      </c>
      <c r="H2909" s="958"/>
    </row>
    <row r="2910" spans="1:10">
      <c r="A2910" s="398"/>
      <c r="B2910" s="230" t="s">
        <v>509</v>
      </c>
      <c r="C2910" s="231" t="s">
        <v>112</v>
      </c>
      <c r="D2910" s="401">
        <v>0.34</v>
      </c>
      <c r="E2910" s="964">
        <f>Insumos!C840</f>
        <v>6.4064000000000005</v>
      </c>
      <c r="F2910" s="964"/>
      <c r="G2910" s="958">
        <f>ROUND(D2910*E2910,2)</f>
        <v>2.1800000000000002</v>
      </c>
      <c r="H2910" s="958"/>
    </row>
    <row r="2911" spans="1:10">
      <c r="A2911" s="398"/>
      <c r="B2911" s="955" t="s">
        <v>536</v>
      </c>
      <c r="C2911" s="955"/>
      <c r="D2911" s="955"/>
      <c r="E2911" s="389"/>
      <c r="F2911" s="409"/>
      <c r="G2911" s="410"/>
      <c r="H2911" s="249">
        <f>SUM(G2906:H2908)</f>
        <v>4.5199999999999996</v>
      </c>
    </row>
    <row r="2912" spans="1:10">
      <c r="A2912" s="398"/>
      <c r="B2912" s="955" t="s">
        <v>537</v>
      </c>
      <c r="C2912" s="955"/>
      <c r="D2912" s="955"/>
      <c r="E2912" s="389"/>
      <c r="F2912" s="409"/>
      <c r="G2912" s="410"/>
      <c r="H2912" s="249">
        <f>SUM(G2909:H2910)</f>
        <v>5.1300000000000008</v>
      </c>
    </row>
    <row r="2913" spans="1:10">
      <c r="A2913" s="398"/>
      <c r="B2913" s="955" t="s">
        <v>1937</v>
      </c>
      <c r="C2913" s="955"/>
      <c r="D2913" s="955"/>
      <c r="E2913" s="389"/>
      <c r="F2913" s="409"/>
      <c r="G2913" s="410"/>
      <c r="H2913" s="249">
        <f>SUM(H2911:H2912)</f>
        <v>9.65</v>
      </c>
    </row>
    <row r="2914" spans="1:10" s="406" customFormat="1" ht="15">
      <c r="A2914" s="398"/>
      <c r="B2914" s="955" t="s">
        <v>538</v>
      </c>
      <c r="C2914" s="955"/>
      <c r="D2914" s="955"/>
      <c r="E2914" s="389"/>
      <c r="F2914" s="411" t="s">
        <v>539</v>
      </c>
      <c r="G2914" s="410"/>
      <c r="H2914" s="249">
        <f t="shared" ref="H2914" si="97">ROUND(H2913*F2914,2)</f>
        <v>2.41</v>
      </c>
      <c r="I2914" s="407"/>
      <c r="J2914" s="408"/>
    </row>
    <row r="2915" spans="1:10">
      <c r="A2915" s="398"/>
      <c r="B2915" s="956" t="s">
        <v>540</v>
      </c>
      <c r="C2915" s="956"/>
      <c r="D2915" s="956"/>
      <c r="E2915" s="740"/>
      <c r="F2915" s="768"/>
      <c r="G2915" s="769"/>
      <c r="H2915" s="770">
        <f>SUM(H2913:H2914)</f>
        <v>12.06</v>
      </c>
    </row>
    <row r="2916" spans="1:10" s="579" customFormat="1">
      <c r="A2916" s="601"/>
      <c r="B2916" s="780"/>
      <c r="C2916" s="780"/>
      <c r="D2916" s="780"/>
      <c r="E2916" s="740"/>
      <c r="F2916" s="768"/>
      <c r="G2916" s="769"/>
      <c r="H2916" s="770"/>
      <c r="I2916" s="400"/>
      <c r="J2916" s="404"/>
    </row>
    <row r="2917" spans="1:10" ht="25.9" customHeight="1">
      <c r="A2917" s="403" t="s">
        <v>2537</v>
      </c>
      <c r="B2917" s="961" t="s">
        <v>869</v>
      </c>
      <c r="C2917" s="961"/>
      <c r="D2917" s="961"/>
      <c r="E2917" s="961"/>
      <c r="F2917" s="961"/>
      <c r="G2917" s="402"/>
      <c r="H2917" s="403" t="s">
        <v>88</v>
      </c>
    </row>
    <row r="2918" spans="1:10">
      <c r="A2918" s="398"/>
      <c r="B2918" s="230" t="s">
        <v>746</v>
      </c>
      <c r="C2918" s="231" t="s">
        <v>492</v>
      </c>
      <c r="D2918" s="401">
        <v>1.18E-2</v>
      </c>
      <c r="E2918" s="964">
        <f>Insumos!C841</f>
        <v>25.898600000000002</v>
      </c>
      <c r="F2918" s="964"/>
      <c r="G2918" s="958">
        <f t="shared" ref="G2918:G2923" si="98">ROUND(D2918*E2918,2)</f>
        <v>0.31</v>
      </c>
      <c r="H2918" s="958"/>
    </row>
    <row r="2919" spans="1:10">
      <c r="A2919" s="398"/>
      <c r="B2919" s="230" t="s">
        <v>870</v>
      </c>
      <c r="C2919" s="231" t="s">
        <v>14</v>
      </c>
      <c r="D2919" s="401">
        <v>1</v>
      </c>
      <c r="E2919" s="964">
        <f>Insumos!C842</f>
        <v>0.85539999999999994</v>
      </c>
      <c r="F2919" s="964"/>
      <c r="G2919" s="958">
        <f t="shared" si="98"/>
        <v>0.86</v>
      </c>
      <c r="H2919" s="958"/>
    </row>
    <row r="2920" spans="1:10">
      <c r="A2920" s="398"/>
      <c r="B2920" s="230" t="s">
        <v>747</v>
      </c>
      <c r="C2920" s="231" t="s">
        <v>14</v>
      </c>
      <c r="D2920" s="401">
        <v>5.0000000000000001E-3</v>
      </c>
      <c r="E2920" s="964">
        <f>Insumos!C843</f>
        <v>30.676100000000002</v>
      </c>
      <c r="F2920" s="964"/>
      <c r="G2920" s="958">
        <f t="shared" si="98"/>
        <v>0.15</v>
      </c>
      <c r="H2920" s="958"/>
    </row>
    <row r="2921" spans="1:10">
      <c r="A2921" s="398"/>
      <c r="B2921" s="230" t="s">
        <v>871</v>
      </c>
      <c r="C2921" s="231" t="s">
        <v>14</v>
      </c>
      <c r="D2921" s="401">
        <v>1</v>
      </c>
      <c r="E2921" s="964">
        <f>Insumos!C844</f>
        <v>0.6552</v>
      </c>
      <c r="F2921" s="964"/>
      <c r="G2921" s="958">
        <f t="shared" si="98"/>
        <v>0.66</v>
      </c>
      <c r="H2921" s="958"/>
    </row>
    <row r="2922" spans="1:10">
      <c r="A2922" s="398"/>
      <c r="B2922" s="230" t="s">
        <v>517</v>
      </c>
      <c r="C2922" s="231" t="s">
        <v>112</v>
      </c>
      <c r="D2922" s="401">
        <v>0.25</v>
      </c>
      <c r="E2922" s="964">
        <f>Insumos!C845</f>
        <v>8.6722999999999999</v>
      </c>
      <c r="F2922" s="964"/>
      <c r="G2922" s="958">
        <f t="shared" si="98"/>
        <v>2.17</v>
      </c>
      <c r="H2922" s="958"/>
    </row>
    <row r="2923" spans="1:10">
      <c r="A2923" s="398"/>
      <c r="B2923" s="230" t="s">
        <v>509</v>
      </c>
      <c r="C2923" s="231" t="s">
        <v>112</v>
      </c>
      <c r="D2923" s="401">
        <v>0.25</v>
      </c>
      <c r="E2923" s="964">
        <f>Insumos!C846</f>
        <v>6.4064000000000005</v>
      </c>
      <c r="F2923" s="964"/>
      <c r="G2923" s="958">
        <f t="shared" si="98"/>
        <v>1.6</v>
      </c>
      <c r="H2923" s="958"/>
    </row>
    <row r="2924" spans="1:10">
      <c r="A2924" s="398"/>
      <c r="B2924" s="955" t="s">
        <v>536</v>
      </c>
      <c r="C2924" s="955"/>
      <c r="D2924" s="955"/>
      <c r="E2924" s="389"/>
      <c r="F2924" s="409"/>
      <c r="G2924" s="410"/>
      <c r="H2924" s="249">
        <f>SUM(G2918:H2921)</f>
        <v>1.98</v>
      </c>
    </row>
    <row r="2925" spans="1:10">
      <c r="A2925" s="398"/>
      <c r="B2925" s="955" t="s">
        <v>537</v>
      </c>
      <c r="C2925" s="955"/>
      <c r="D2925" s="955"/>
      <c r="E2925" s="389"/>
      <c r="F2925" s="409"/>
      <c r="G2925" s="410"/>
      <c r="H2925" s="249">
        <f>SUM(G2922:H2923)</f>
        <v>3.77</v>
      </c>
    </row>
    <row r="2926" spans="1:10">
      <c r="A2926" s="398"/>
      <c r="B2926" s="955" t="s">
        <v>1937</v>
      </c>
      <c r="C2926" s="955"/>
      <c r="D2926" s="955"/>
      <c r="E2926" s="389"/>
      <c r="F2926" s="409"/>
      <c r="G2926" s="410"/>
      <c r="H2926" s="249">
        <f>SUM(H2924:H2925)</f>
        <v>5.75</v>
      </c>
    </row>
    <row r="2927" spans="1:10" s="406" customFormat="1" ht="15">
      <c r="A2927" s="398"/>
      <c r="B2927" s="955" t="s">
        <v>538</v>
      </c>
      <c r="C2927" s="955"/>
      <c r="D2927" s="955"/>
      <c r="E2927" s="389"/>
      <c r="F2927" s="411" t="s">
        <v>539</v>
      </c>
      <c r="G2927" s="410"/>
      <c r="H2927" s="249">
        <f t="shared" ref="H2927" si="99">ROUND(H2926*F2927,2)</f>
        <v>1.44</v>
      </c>
      <c r="I2927" s="407"/>
      <c r="J2927" s="408"/>
    </row>
    <row r="2928" spans="1:10">
      <c r="A2928" s="398"/>
      <c r="B2928" s="956" t="s">
        <v>540</v>
      </c>
      <c r="C2928" s="956"/>
      <c r="D2928" s="956"/>
      <c r="E2928" s="740"/>
      <c r="F2928" s="768"/>
      <c r="G2928" s="769"/>
      <c r="H2928" s="770">
        <f>SUM(H2926:H2927)</f>
        <v>7.1899999999999995</v>
      </c>
    </row>
    <row r="2929" spans="1:10" s="579" customFormat="1">
      <c r="A2929" s="601"/>
      <c r="B2929" s="780"/>
      <c r="C2929" s="780"/>
      <c r="D2929" s="780"/>
      <c r="E2929" s="740"/>
      <c r="F2929" s="768"/>
      <c r="G2929" s="769"/>
      <c r="H2929" s="770"/>
      <c r="I2929" s="400"/>
      <c r="J2929" s="404"/>
    </row>
    <row r="2930" spans="1:10">
      <c r="A2930" s="403" t="s">
        <v>2538</v>
      </c>
      <c r="B2930" s="961" t="s">
        <v>872</v>
      </c>
      <c r="C2930" s="961"/>
      <c r="D2930" s="961"/>
      <c r="E2930" s="961"/>
      <c r="F2930" s="961"/>
      <c r="G2930" s="402"/>
      <c r="H2930" s="403" t="s">
        <v>88</v>
      </c>
    </row>
    <row r="2931" spans="1:10">
      <c r="A2931" s="398"/>
      <c r="B2931" s="230" t="s">
        <v>746</v>
      </c>
      <c r="C2931" s="231" t="s">
        <v>492</v>
      </c>
      <c r="D2931" s="401">
        <v>5.2299999999999999E-2</v>
      </c>
      <c r="E2931" s="964">
        <f>Insumos!C847</f>
        <v>25.898600000000002</v>
      </c>
      <c r="F2931" s="964"/>
      <c r="G2931" s="958">
        <f>ROUND(D2931*E2931,2)</f>
        <v>1.35</v>
      </c>
      <c r="H2931" s="958"/>
    </row>
    <row r="2932" spans="1:10">
      <c r="A2932" s="398"/>
      <c r="B2932" s="230" t="s">
        <v>747</v>
      </c>
      <c r="C2932" s="231" t="s">
        <v>14</v>
      </c>
      <c r="D2932" s="401">
        <v>6.0000000000000001E-3</v>
      </c>
      <c r="E2932" s="964">
        <f>Insumos!C848</f>
        <v>30.676100000000002</v>
      </c>
      <c r="F2932" s="964"/>
      <c r="G2932" s="958">
        <f>ROUND(D2932*E2932,2)</f>
        <v>0.18</v>
      </c>
      <c r="H2932" s="958"/>
    </row>
    <row r="2933" spans="1:10">
      <c r="A2933" s="398"/>
      <c r="B2933" s="230" t="s">
        <v>873</v>
      </c>
      <c r="C2933" s="231" t="s">
        <v>722</v>
      </c>
      <c r="D2933" s="401">
        <v>1</v>
      </c>
      <c r="E2933" s="964">
        <f>Insumos!C849</f>
        <v>7.9806999999999997</v>
      </c>
      <c r="F2933" s="964"/>
      <c r="G2933" s="958">
        <f>ROUND(D2933*E2933,2)</f>
        <v>7.98</v>
      </c>
      <c r="H2933" s="958"/>
    </row>
    <row r="2934" spans="1:10">
      <c r="A2934" s="398"/>
      <c r="B2934" s="230" t="s">
        <v>517</v>
      </c>
      <c r="C2934" s="231" t="s">
        <v>112</v>
      </c>
      <c r="D2934" s="401">
        <v>0.34</v>
      </c>
      <c r="E2934" s="964">
        <f>Insumos!C850</f>
        <v>8.6722999999999999</v>
      </c>
      <c r="F2934" s="964"/>
      <c r="G2934" s="958">
        <f>ROUND(D2934*E2934,2)</f>
        <v>2.95</v>
      </c>
      <c r="H2934" s="958"/>
    </row>
    <row r="2935" spans="1:10">
      <c r="A2935" s="398"/>
      <c r="B2935" s="230" t="s">
        <v>775</v>
      </c>
      <c r="C2935" s="231" t="s">
        <v>112</v>
      </c>
      <c r="D2935" s="401">
        <v>0.34</v>
      </c>
      <c r="E2935" s="964">
        <f>Insumos!C851</f>
        <v>6.4064000000000005</v>
      </c>
      <c r="F2935" s="964"/>
      <c r="G2935" s="958">
        <f>ROUND(D2935*E2935,2)</f>
        <v>2.1800000000000002</v>
      </c>
      <c r="H2935" s="958"/>
    </row>
    <row r="2936" spans="1:10">
      <c r="A2936" s="398"/>
      <c r="B2936" s="955" t="s">
        <v>536</v>
      </c>
      <c r="C2936" s="955"/>
      <c r="D2936" s="955"/>
      <c r="E2936" s="389"/>
      <c r="F2936" s="409"/>
      <c r="G2936" s="410"/>
      <c r="H2936" s="249">
        <f>SUM(G2931:H2933)</f>
        <v>9.51</v>
      </c>
    </row>
    <row r="2937" spans="1:10">
      <c r="A2937" s="398"/>
      <c r="B2937" s="955" t="s">
        <v>537</v>
      </c>
      <c r="C2937" s="955"/>
      <c r="D2937" s="955"/>
      <c r="E2937" s="389"/>
      <c r="F2937" s="409"/>
      <c r="G2937" s="410"/>
      <c r="H2937" s="249">
        <f>SUM(G2934:H2935)</f>
        <v>5.1300000000000008</v>
      </c>
    </row>
    <row r="2938" spans="1:10">
      <c r="A2938" s="398"/>
      <c r="B2938" s="955" t="s">
        <v>1937</v>
      </c>
      <c r="C2938" s="955"/>
      <c r="D2938" s="955"/>
      <c r="E2938" s="389"/>
      <c r="F2938" s="409"/>
      <c r="G2938" s="410"/>
      <c r="H2938" s="249">
        <f>SUM(H2936:H2937)</f>
        <v>14.64</v>
      </c>
    </row>
    <row r="2939" spans="1:10" s="406" customFormat="1" ht="15">
      <c r="A2939" s="398"/>
      <c r="B2939" s="955" t="s">
        <v>538</v>
      </c>
      <c r="C2939" s="955"/>
      <c r="D2939" s="955"/>
      <c r="E2939" s="389"/>
      <c r="F2939" s="411" t="s">
        <v>539</v>
      </c>
      <c r="G2939" s="410"/>
      <c r="H2939" s="249">
        <f t="shared" ref="H2939" si="100">ROUND(H2938*F2939,2)</f>
        <v>3.65</v>
      </c>
      <c r="I2939" s="407"/>
      <c r="J2939" s="408"/>
    </row>
    <row r="2940" spans="1:10">
      <c r="A2940" s="398"/>
      <c r="B2940" s="956" t="s">
        <v>540</v>
      </c>
      <c r="C2940" s="956"/>
      <c r="D2940" s="956"/>
      <c r="E2940" s="740"/>
      <c r="F2940" s="768"/>
      <c r="G2940" s="769"/>
      <c r="H2940" s="770">
        <f>SUM(H2938:H2939)</f>
        <v>18.29</v>
      </c>
    </row>
    <row r="2941" spans="1:10" s="579" customFormat="1">
      <c r="A2941" s="601"/>
      <c r="B2941" s="780"/>
      <c r="C2941" s="780"/>
      <c r="D2941" s="780"/>
      <c r="E2941" s="740"/>
      <c r="F2941" s="768"/>
      <c r="G2941" s="769"/>
      <c r="H2941" s="770"/>
      <c r="I2941" s="400"/>
      <c r="J2941" s="404"/>
    </row>
    <row r="2942" spans="1:10">
      <c r="A2942" s="403" t="s">
        <v>2539</v>
      </c>
      <c r="B2942" s="961" t="s">
        <v>874</v>
      </c>
      <c r="C2942" s="961"/>
      <c r="D2942" s="961"/>
      <c r="E2942" s="961"/>
      <c r="F2942" s="961"/>
      <c r="G2942" s="402"/>
      <c r="H2942" s="403" t="s">
        <v>88</v>
      </c>
    </row>
    <row r="2943" spans="1:10">
      <c r="A2943" s="398"/>
      <c r="B2943" s="230" t="s">
        <v>746</v>
      </c>
      <c r="C2943" s="231" t="s">
        <v>492</v>
      </c>
      <c r="D2943" s="436">
        <v>7.6499999999999999E-2</v>
      </c>
      <c r="E2943" s="964">
        <f>Insumos!C852</f>
        <v>25.898600000000002</v>
      </c>
      <c r="F2943" s="964"/>
      <c r="G2943" s="958">
        <f>ROUND(D2943*E2943,2)</f>
        <v>1.98</v>
      </c>
      <c r="H2943" s="958"/>
    </row>
    <row r="2944" spans="1:10">
      <c r="A2944" s="398"/>
      <c r="B2944" s="230" t="s">
        <v>747</v>
      </c>
      <c r="C2944" s="231" t="s">
        <v>14</v>
      </c>
      <c r="D2944" s="436">
        <v>0.01</v>
      </c>
      <c r="E2944" s="964">
        <f>Insumos!C853</f>
        <v>30.676100000000002</v>
      </c>
      <c r="F2944" s="964"/>
      <c r="G2944" s="958">
        <f>ROUND(D2944*E2944,2)</f>
        <v>0.31</v>
      </c>
      <c r="H2944" s="958"/>
    </row>
    <row r="2945" spans="1:10">
      <c r="A2945" s="398"/>
      <c r="B2945" s="230" t="s">
        <v>875</v>
      </c>
      <c r="C2945" s="231" t="s">
        <v>14</v>
      </c>
      <c r="D2945" s="436">
        <v>1</v>
      </c>
      <c r="E2945" s="964">
        <f>Insumos!C854</f>
        <v>10.537800000000001</v>
      </c>
      <c r="F2945" s="964"/>
      <c r="G2945" s="958">
        <f>ROUND(D2945*E2945,2)</f>
        <v>10.54</v>
      </c>
      <c r="H2945" s="958"/>
    </row>
    <row r="2946" spans="1:10">
      <c r="A2946" s="398"/>
      <c r="B2946" s="230" t="s">
        <v>775</v>
      </c>
      <c r="C2946" s="231" t="s">
        <v>112</v>
      </c>
      <c r="D2946" s="436">
        <v>0.3986666666666665</v>
      </c>
      <c r="E2946" s="964">
        <f>Insumos!C855</f>
        <v>6.4064000000000005</v>
      </c>
      <c r="F2946" s="964"/>
      <c r="G2946" s="958">
        <f>ROUND(D2946*E2946,2)</f>
        <v>2.5499999999999998</v>
      </c>
      <c r="H2946" s="958"/>
    </row>
    <row r="2947" spans="1:10">
      <c r="A2947" s="398"/>
      <c r="B2947" s="230" t="s">
        <v>517</v>
      </c>
      <c r="C2947" s="231" t="s">
        <v>112</v>
      </c>
      <c r="D2947" s="436">
        <v>0.4</v>
      </c>
      <c r="E2947" s="964">
        <f>Insumos!C856</f>
        <v>8.6722999999999999</v>
      </c>
      <c r="F2947" s="964"/>
      <c r="G2947" s="958">
        <f>ROUND(D2947*E2947,2)</f>
        <v>3.47</v>
      </c>
      <c r="H2947" s="958"/>
    </row>
    <row r="2948" spans="1:10">
      <c r="A2948" s="398"/>
      <c r="B2948" s="955" t="s">
        <v>536</v>
      </c>
      <c r="C2948" s="955"/>
      <c r="D2948" s="955"/>
      <c r="E2948" s="389"/>
      <c r="F2948" s="409"/>
      <c r="G2948" s="410"/>
      <c r="H2948" s="249">
        <f>SUM(G2943:H2945)</f>
        <v>12.829999999999998</v>
      </c>
    </row>
    <row r="2949" spans="1:10">
      <c r="A2949" s="398"/>
      <c r="B2949" s="955" t="s">
        <v>537</v>
      </c>
      <c r="C2949" s="955"/>
      <c r="D2949" s="955"/>
      <c r="E2949" s="389"/>
      <c r="F2949" s="409"/>
      <c r="G2949" s="410"/>
      <c r="H2949" s="249">
        <f>SUM(G2946:H2947)</f>
        <v>6.02</v>
      </c>
    </row>
    <row r="2950" spans="1:10">
      <c r="A2950" s="398"/>
      <c r="B2950" s="955" t="s">
        <v>1937</v>
      </c>
      <c r="C2950" s="955"/>
      <c r="D2950" s="955"/>
      <c r="E2950" s="389"/>
      <c r="F2950" s="409"/>
      <c r="G2950" s="410"/>
      <c r="H2950" s="249">
        <f>SUM(H2948:H2949)</f>
        <v>18.849999999999998</v>
      </c>
    </row>
    <row r="2951" spans="1:10" s="406" customFormat="1" ht="15">
      <c r="A2951" s="398"/>
      <c r="B2951" s="955" t="s">
        <v>538</v>
      </c>
      <c r="C2951" s="955"/>
      <c r="D2951" s="955"/>
      <c r="E2951" s="389"/>
      <c r="F2951" s="411" t="s">
        <v>539</v>
      </c>
      <c r="G2951" s="410"/>
      <c r="H2951" s="249">
        <f t="shared" ref="H2951" si="101">ROUND(H2950*F2951,2)</f>
        <v>4.7</v>
      </c>
      <c r="I2951" s="407"/>
      <c r="J2951" s="408"/>
    </row>
    <row r="2952" spans="1:10">
      <c r="A2952" s="398"/>
      <c r="B2952" s="956" t="s">
        <v>540</v>
      </c>
      <c r="C2952" s="956"/>
      <c r="D2952" s="956"/>
      <c r="E2952" s="740"/>
      <c r="F2952" s="768"/>
      <c r="G2952" s="769"/>
      <c r="H2952" s="770">
        <f>SUM(H2950:H2951)</f>
        <v>23.549999999999997</v>
      </c>
    </row>
    <row r="2953" spans="1:10" s="579" customFormat="1">
      <c r="A2953" s="601"/>
      <c r="B2953" s="780"/>
      <c r="C2953" s="780"/>
      <c r="D2953" s="780"/>
      <c r="E2953" s="740"/>
      <c r="F2953" s="768"/>
      <c r="G2953" s="769"/>
      <c r="H2953" s="770"/>
      <c r="I2953" s="400"/>
      <c r="J2953" s="404"/>
    </row>
    <row r="2954" spans="1:10">
      <c r="A2954" s="403" t="s">
        <v>2540</v>
      </c>
      <c r="B2954" s="961" t="s">
        <v>876</v>
      </c>
      <c r="C2954" s="961"/>
      <c r="D2954" s="961"/>
      <c r="E2954" s="961"/>
      <c r="F2954" s="961"/>
      <c r="G2954" s="402"/>
      <c r="H2954" s="403" t="s">
        <v>88</v>
      </c>
    </row>
    <row r="2955" spans="1:10">
      <c r="A2955" s="398"/>
      <c r="B2955" s="230" t="s">
        <v>746</v>
      </c>
      <c r="C2955" s="231" t="s">
        <v>492</v>
      </c>
      <c r="D2955" s="401">
        <v>4.8800000000000003E-2</v>
      </c>
      <c r="E2955" s="964">
        <f>Insumos!C857</f>
        <v>25.898600000000002</v>
      </c>
      <c r="F2955" s="964"/>
      <c r="G2955" s="958">
        <f>ROUND(D2955*E2955,2)</f>
        <v>1.26</v>
      </c>
      <c r="H2955" s="958"/>
    </row>
    <row r="2956" spans="1:10">
      <c r="A2956" s="398"/>
      <c r="B2956" s="230" t="s">
        <v>747</v>
      </c>
      <c r="C2956" s="231" t="s">
        <v>14</v>
      </c>
      <c r="D2956" s="401">
        <v>5.11E-2</v>
      </c>
      <c r="E2956" s="964">
        <f>Insumos!C858</f>
        <v>30.676100000000002</v>
      </c>
      <c r="F2956" s="964"/>
      <c r="G2956" s="958">
        <f>ROUND(D2956*E2956,2)</f>
        <v>1.57</v>
      </c>
      <c r="H2956" s="958"/>
    </row>
    <row r="2957" spans="1:10">
      <c r="A2957" s="398"/>
      <c r="B2957" s="230" t="s">
        <v>877</v>
      </c>
      <c r="C2957" s="231" t="s">
        <v>14</v>
      </c>
      <c r="D2957" s="401">
        <v>0.99857142857142855</v>
      </c>
      <c r="E2957" s="964">
        <f>Insumos!C859</f>
        <v>6.2698999999999998</v>
      </c>
      <c r="F2957" s="964"/>
      <c r="G2957" s="958">
        <f>ROUND(D2957*E2957,2)</f>
        <v>6.26</v>
      </c>
      <c r="H2957" s="958"/>
    </row>
    <row r="2958" spans="1:10">
      <c r="A2958" s="398"/>
      <c r="B2958" s="230" t="s">
        <v>517</v>
      </c>
      <c r="C2958" s="231" t="s">
        <v>112</v>
      </c>
      <c r="D2958" s="401">
        <v>0.4</v>
      </c>
      <c r="E2958" s="964">
        <f>Insumos!C860</f>
        <v>8.6722999999999999</v>
      </c>
      <c r="F2958" s="964"/>
      <c r="G2958" s="958">
        <f>ROUND(D2958*E2958,2)</f>
        <v>3.47</v>
      </c>
      <c r="H2958" s="958"/>
    </row>
    <row r="2959" spans="1:10">
      <c r="A2959" s="398"/>
      <c r="B2959" s="230" t="s">
        <v>516</v>
      </c>
      <c r="C2959" s="231" t="s">
        <v>112</v>
      </c>
      <c r="D2959" s="401">
        <v>0.4</v>
      </c>
      <c r="E2959" s="964">
        <f>Insumos!C861</f>
        <v>7.0798000000000005</v>
      </c>
      <c r="F2959" s="964"/>
      <c r="G2959" s="958">
        <f>ROUND(D2959*E2959,2)</f>
        <v>2.83</v>
      </c>
      <c r="H2959" s="958"/>
    </row>
    <row r="2960" spans="1:10">
      <c r="A2960" s="398"/>
      <c r="B2960" s="955" t="s">
        <v>536</v>
      </c>
      <c r="C2960" s="955"/>
      <c r="D2960" s="955"/>
      <c r="E2960" s="389"/>
      <c r="F2960" s="409"/>
      <c r="G2960" s="410"/>
      <c r="H2960" s="249">
        <f>SUM(G2955:H2957)</f>
        <v>9.09</v>
      </c>
    </row>
    <row r="2961" spans="1:10">
      <c r="A2961" s="398"/>
      <c r="B2961" s="955" t="s">
        <v>537</v>
      </c>
      <c r="C2961" s="955"/>
      <c r="D2961" s="955"/>
      <c r="E2961" s="389"/>
      <c r="F2961" s="409"/>
      <c r="G2961" s="410"/>
      <c r="H2961" s="249">
        <f>SUM(G2958:H2959)</f>
        <v>6.3000000000000007</v>
      </c>
    </row>
    <row r="2962" spans="1:10">
      <c r="A2962" s="398"/>
      <c r="B2962" s="955" t="s">
        <v>1937</v>
      </c>
      <c r="C2962" s="955"/>
      <c r="D2962" s="955"/>
      <c r="E2962" s="389"/>
      <c r="F2962" s="409"/>
      <c r="G2962" s="410"/>
      <c r="H2962" s="249">
        <f>SUM(H2960:H2961)</f>
        <v>15.39</v>
      </c>
    </row>
    <row r="2963" spans="1:10" s="406" customFormat="1" ht="15">
      <c r="A2963" s="398"/>
      <c r="B2963" s="955" t="s">
        <v>538</v>
      </c>
      <c r="C2963" s="955"/>
      <c r="D2963" s="955"/>
      <c r="E2963" s="389"/>
      <c r="F2963" s="411" t="s">
        <v>539</v>
      </c>
      <c r="G2963" s="410"/>
      <c r="H2963" s="249">
        <f t="shared" ref="H2963" si="102">ROUND(H2962*F2963,2)</f>
        <v>3.84</v>
      </c>
      <c r="I2963" s="407"/>
      <c r="J2963" s="408"/>
    </row>
    <row r="2964" spans="1:10">
      <c r="A2964" s="398"/>
      <c r="B2964" s="956" t="s">
        <v>540</v>
      </c>
      <c r="C2964" s="956"/>
      <c r="D2964" s="956"/>
      <c r="E2964" s="740"/>
      <c r="F2964" s="768"/>
      <c r="G2964" s="769"/>
      <c r="H2964" s="770">
        <f>SUM(H2962:H2963)</f>
        <v>19.23</v>
      </c>
    </row>
    <row r="2965" spans="1:10" s="579" customFormat="1">
      <c r="A2965" s="601"/>
      <c r="B2965" s="780"/>
      <c r="C2965" s="780"/>
      <c r="D2965" s="780"/>
      <c r="E2965" s="740"/>
      <c r="F2965" s="768"/>
      <c r="G2965" s="769"/>
      <c r="H2965" s="770"/>
      <c r="I2965" s="400"/>
      <c r="J2965" s="404"/>
    </row>
    <row r="2966" spans="1:10">
      <c r="A2966" s="403" t="s">
        <v>2541</v>
      </c>
      <c r="B2966" s="961" t="s">
        <v>878</v>
      </c>
      <c r="C2966" s="961"/>
      <c r="D2966" s="961"/>
      <c r="E2966" s="961"/>
      <c r="F2966" s="961"/>
      <c r="G2966" s="402"/>
      <c r="H2966" s="403" t="s">
        <v>88</v>
      </c>
    </row>
    <row r="2967" spans="1:10">
      <c r="A2967" s="398"/>
      <c r="B2967" s="230" t="s">
        <v>746</v>
      </c>
      <c r="C2967" s="231" t="s">
        <v>492</v>
      </c>
      <c r="D2967" s="401">
        <v>6.7599999999999993E-2</v>
      </c>
      <c r="E2967" s="964">
        <f>Insumos!C862</f>
        <v>25.898600000000002</v>
      </c>
      <c r="F2967" s="964"/>
      <c r="G2967" s="958">
        <f>ROUND(D2967*E2967,2)</f>
        <v>1.75</v>
      </c>
      <c r="H2967" s="958"/>
    </row>
    <row r="2968" spans="1:10">
      <c r="A2968" s="398"/>
      <c r="B2968" s="230" t="s">
        <v>879</v>
      </c>
      <c r="C2968" s="231" t="s">
        <v>14</v>
      </c>
      <c r="D2968" s="401">
        <v>1</v>
      </c>
      <c r="E2968" s="964">
        <f>Insumos!C863</f>
        <v>6.1970999999999998</v>
      </c>
      <c r="F2968" s="964"/>
      <c r="G2968" s="958">
        <f>ROUND(D2968*E2968,2)</f>
        <v>6.2</v>
      </c>
      <c r="H2968" s="958"/>
    </row>
    <row r="2969" spans="1:10">
      <c r="A2969" s="398"/>
      <c r="B2969" s="230" t="s">
        <v>747</v>
      </c>
      <c r="C2969" s="231" t="s">
        <v>14</v>
      </c>
      <c r="D2969" s="401">
        <v>9.0999999999999998E-2</v>
      </c>
      <c r="E2969" s="964">
        <f>Insumos!C864</f>
        <v>30.676100000000002</v>
      </c>
      <c r="F2969" s="964"/>
      <c r="G2969" s="958">
        <f>ROUND(D2969*E2969,2)</f>
        <v>2.79</v>
      </c>
      <c r="H2969" s="958"/>
    </row>
    <row r="2970" spans="1:10">
      <c r="A2970" s="398"/>
      <c r="B2970" s="230" t="s">
        <v>516</v>
      </c>
      <c r="C2970" s="231" t="s">
        <v>112</v>
      </c>
      <c r="D2970" s="401">
        <v>0.47199999999999998</v>
      </c>
      <c r="E2970" s="964">
        <f>Insumos!C865</f>
        <v>7.0798000000000005</v>
      </c>
      <c r="F2970" s="964"/>
      <c r="G2970" s="958">
        <f>ROUND(D2970*E2970,2)</f>
        <v>3.34</v>
      </c>
      <c r="H2970" s="958"/>
    </row>
    <row r="2971" spans="1:10">
      <c r="A2971" s="398"/>
      <c r="B2971" s="230" t="s">
        <v>517</v>
      </c>
      <c r="C2971" s="231" t="s">
        <v>112</v>
      </c>
      <c r="D2971" s="401">
        <v>0.47199999999999998</v>
      </c>
      <c r="E2971" s="964">
        <f>Insumos!C866</f>
        <v>8.6722999999999999</v>
      </c>
      <c r="F2971" s="964"/>
      <c r="G2971" s="958">
        <f>ROUND(D2971*E2971,2)</f>
        <v>4.09</v>
      </c>
      <c r="H2971" s="958"/>
    </row>
    <row r="2972" spans="1:10">
      <c r="A2972" s="398"/>
      <c r="B2972" s="955" t="s">
        <v>536</v>
      </c>
      <c r="C2972" s="955"/>
      <c r="D2972" s="955"/>
      <c r="E2972" s="389"/>
      <c r="F2972" s="409"/>
      <c r="G2972" s="410"/>
      <c r="H2972" s="249">
        <f>SUM(G2967:H2969)</f>
        <v>10.74</v>
      </c>
    </row>
    <row r="2973" spans="1:10">
      <c r="A2973" s="398"/>
      <c r="B2973" s="955" t="s">
        <v>537</v>
      </c>
      <c r="C2973" s="955"/>
      <c r="D2973" s="955"/>
      <c r="E2973" s="389"/>
      <c r="F2973" s="409"/>
      <c r="G2973" s="410"/>
      <c r="H2973" s="249">
        <f>SUM(G2970:H2971)</f>
        <v>7.43</v>
      </c>
    </row>
    <row r="2974" spans="1:10" s="406" customFormat="1" ht="15">
      <c r="A2974" s="398"/>
      <c r="B2974" s="955" t="s">
        <v>1937</v>
      </c>
      <c r="C2974" s="955"/>
      <c r="D2974" s="955"/>
      <c r="E2974" s="389"/>
      <c r="F2974" s="409"/>
      <c r="G2974" s="410"/>
      <c r="H2974" s="249">
        <f>SUM(H2972:H2973)</f>
        <v>18.170000000000002</v>
      </c>
      <c r="I2974" s="407"/>
      <c r="J2974" s="408"/>
    </row>
    <row r="2975" spans="1:10">
      <c r="A2975" s="398"/>
      <c r="B2975" s="955" t="s">
        <v>538</v>
      </c>
      <c r="C2975" s="955"/>
      <c r="D2975" s="955"/>
      <c r="E2975" s="389"/>
      <c r="F2975" s="411" t="s">
        <v>539</v>
      </c>
      <c r="G2975" s="410"/>
      <c r="H2975" s="249">
        <f t="shared" ref="H2975" si="103">ROUND(H2974*F2975,2)</f>
        <v>4.54</v>
      </c>
    </row>
    <row r="2976" spans="1:10">
      <c r="A2976" s="398"/>
      <c r="B2976" s="956" t="s">
        <v>540</v>
      </c>
      <c r="C2976" s="956"/>
      <c r="D2976" s="956"/>
      <c r="E2976" s="740"/>
      <c r="F2976" s="768"/>
      <c r="G2976" s="769"/>
      <c r="H2976" s="770">
        <f>SUM(H2974:H2975)</f>
        <v>22.71</v>
      </c>
    </row>
    <row r="2977" spans="1:10" s="579" customFormat="1">
      <c r="A2977" s="601"/>
      <c r="B2977" s="780"/>
      <c r="C2977" s="780"/>
      <c r="D2977" s="780"/>
      <c r="E2977" s="740"/>
      <c r="F2977" s="768"/>
      <c r="G2977" s="769"/>
      <c r="H2977" s="770"/>
      <c r="I2977" s="400"/>
      <c r="J2977" s="404"/>
    </row>
    <row r="2978" spans="1:10">
      <c r="A2978" s="403" t="s">
        <v>2542</v>
      </c>
      <c r="B2978" s="961" t="s">
        <v>880</v>
      </c>
      <c r="C2978" s="961"/>
      <c r="D2978" s="961"/>
      <c r="E2978" s="961"/>
      <c r="F2978" s="961"/>
      <c r="G2978" s="402"/>
      <c r="H2978" s="403" t="s">
        <v>88</v>
      </c>
    </row>
    <row r="2979" spans="1:10">
      <c r="A2979" s="398"/>
      <c r="B2979" s="230" t="s">
        <v>881</v>
      </c>
      <c r="C2979" s="231" t="s">
        <v>14</v>
      </c>
      <c r="D2979" s="401">
        <v>1</v>
      </c>
      <c r="E2979" s="959">
        <f>Insumos!C867</f>
        <v>10.9473</v>
      </c>
      <c r="F2979" s="959"/>
      <c r="G2979" s="958">
        <f>ROUND(D2979*E2979,2)</f>
        <v>10.95</v>
      </c>
      <c r="H2979" s="958"/>
    </row>
    <row r="2980" spans="1:10">
      <c r="A2980" s="398"/>
      <c r="B2980" s="230" t="s">
        <v>746</v>
      </c>
      <c r="C2980" s="231" t="s">
        <v>492</v>
      </c>
      <c r="D2980" s="401">
        <v>7.8799999999999995E-2</v>
      </c>
      <c r="E2980" s="959">
        <f>Insumos!C868</f>
        <v>25.898600000000002</v>
      </c>
      <c r="F2980" s="959"/>
      <c r="G2980" s="958">
        <f>ROUND(D2980*E2980,2)</f>
        <v>2.04</v>
      </c>
      <c r="H2980" s="958"/>
    </row>
    <row r="2981" spans="1:10">
      <c r="A2981" s="398"/>
      <c r="B2981" s="230" t="s">
        <v>747</v>
      </c>
      <c r="C2981" s="231" t="s">
        <v>14</v>
      </c>
      <c r="D2981" s="401">
        <v>0.1</v>
      </c>
      <c r="E2981" s="959">
        <f>Insumos!C869</f>
        <v>30.676100000000002</v>
      </c>
      <c r="F2981" s="959"/>
      <c r="G2981" s="958">
        <f>ROUND(D2981*E2981,2)</f>
        <v>3.07</v>
      </c>
      <c r="H2981" s="958"/>
    </row>
    <row r="2982" spans="1:10">
      <c r="A2982" s="398"/>
      <c r="B2982" s="230" t="s">
        <v>517</v>
      </c>
      <c r="C2982" s="231" t="s">
        <v>112</v>
      </c>
      <c r="D2982" s="401">
        <v>0.504</v>
      </c>
      <c r="E2982" s="959">
        <f>Insumos!C870</f>
        <v>8.6722999999999999</v>
      </c>
      <c r="F2982" s="959"/>
      <c r="G2982" s="958">
        <f>ROUND(D2982*E2982,2)</f>
        <v>4.37</v>
      </c>
      <c r="H2982" s="958"/>
    </row>
    <row r="2983" spans="1:10">
      <c r="A2983" s="398"/>
      <c r="B2983" s="230" t="s">
        <v>516</v>
      </c>
      <c r="C2983" s="231" t="s">
        <v>112</v>
      </c>
      <c r="D2983" s="401">
        <v>0.5</v>
      </c>
      <c r="E2983" s="959">
        <f>Insumos!C871</f>
        <v>7.0798000000000005</v>
      </c>
      <c r="F2983" s="959"/>
      <c r="G2983" s="958">
        <f>ROUND(D2983*E2983,2)</f>
        <v>3.54</v>
      </c>
      <c r="H2983" s="958"/>
    </row>
    <row r="2984" spans="1:10">
      <c r="A2984" s="398"/>
      <c r="B2984" s="955" t="s">
        <v>536</v>
      </c>
      <c r="C2984" s="955"/>
      <c r="D2984" s="955"/>
      <c r="E2984" s="389"/>
      <c r="F2984" s="409"/>
      <c r="G2984" s="410"/>
      <c r="H2984" s="249">
        <f>SUM(G2979:H2981)</f>
        <v>16.059999999999999</v>
      </c>
    </row>
    <row r="2985" spans="1:10">
      <c r="A2985" s="398"/>
      <c r="B2985" s="955" t="s">
        <v>537</v>
      </c>
      <c r="C2985" s="955"/>
      <c r="D2985" s="955"/>
      <c r="E2985" s="389"/>
      <c r="F2985" s="409"/>
      <c r="G2985" s="410"/>
      <c r="H2985" s="249">
        <f>SUM(G2982:H2983)</f>
        <v>7.91</v>
      </c>
    </row>
    <row r="2986" spans="1:10">
      <c r="A2986" s="398"/>
      <c r="B2986" s="955" t="s">
        <v>1937</v>
      </c>
      <c r="C2986" s="955"/>
      <c r="D2986" s="955"/>
      <c r="E2986" s="389"/>
      <c r="F2986" s="409"/>
      <c r="G2986" s="410"/>
      <c r="H2986" s="249">
        <f>SUM(H2984:H2985)</f>
        <v>23.97</v>
      </c>
    </row>
    <row r="2987" spans="1:10">
      <c r="A2987" s="398"/>
      <c r="B2987" s="955" t="s">
        <v>538</v>
      </c>
      <c r="C2987" s="955"/>
      <c r="D2987" s="955"/>
      <c r="E2987" s="389"/>
      <c r="F2987" s="411" t="s">
        <v>539</v>
      </c>
      <c r="G2987" s="410"/>
      <c r="H2987" s="249">
        <f t="shared" ref="H2987" si="104">ROUND(H2986*F2987,2)</f>
        <v>5.98</v>
      </c>
    </row>
    <row r="2988" spans="1:10">
      <c r="A2988" s="398"/>
      <c r="B2988" s="956" t="s">
        <v>540</v>
      </c>
      <c r="C2988" s="956"/>
      <c r="D2988" s="956"/>
      <c r="E2988" s="740"/>
      <c r="F2988" s="768"/>
      <c r="G2988" s="769"/>
      <c r="H2988" s="770">
        <f>SUM(H2986:H2987)</f>
        <v>29.95</v>
      </c>
    </row>
    <row r="2989" spans="1:10" s="579" customFormat="1">
      <c r="A2989" s="601"/>
      <c r="B2989" s="780"/>
      <c r="C2989" s="780"/>
      <c r="D2989" s="780"/>
      <c r="E2989" s="740"/>
      <c r="F2989" s="768"/>
      <c r="G2989" s="769"/>
      <c r="H2989" s="770"/>
      <c r="I2989" s="400"/>
      <c r="J2989" s="404"/>
    </row>
    <row r="2990" spans="1:10">
      <c r="A2990" s="403" t="s">
        <v>2543</v>
      </c>
      <c r="B2990" s="961" t="s">
        <v>882</v>
      </c>
      <c r="C2990" s="961"/>
      <c r="D2990" s="961"/>
      <c r="E2990" s="961"/>
      <c r="F2990" s="961"/>
      <c r="G2990" s="402"/>
      <c r="H2990" s="403" t="s">
        <v>88</v>
      </c>
    </row>
    <row r="2991" spans="1:10" s="406" customFormat="1" ht="15">
      <c r="A2991" s="398"/>
      <c r="B2991" s="230" t="s">
        <v>746</v>
      </c>
      <c r="C2991" s="231" t="s">
        <v>492</v>
      </c>
      <c r="D2991" s="401">
        <v>1.54E-2</v>
      </c>
      <c r="E2991" s="964">
        <f>Insumos!C872</f>
        <v>25.898600000000002</v>
      </c>
      <c r="F2991" s="964"/>
      <c r="G2991" s="958">
        <f>ROUND(D2991*E2991,2)</f>
        <v>0.4</v>
      </c>
      <c r="H2991" s="958"/>
      <c r="I2991" s="407"/>
      <c r="J2991" s="408"/>
    </row>
    <row r="2992" spans="1:10">
      <c r="A2992" s="398"/>
      <c r="B2992" s="230" t="s">
        <v>747</v>
      </c>
      <c r="C2992" s="231" t="s">
        <v>14</v>
      </c>
      <c r="D2992" s="401">
        <v>3.5000000000000001E-3</v>
      </c>
      <c r="E2992" s="964">
        <f>Insumos!C873</f>
        <v>30.676100000000002</v>
      </c>
      <c r="F2992" s="964"/>
      <c r="G2992" s="958">
        <f>ROUND(D2992*E2992,2)</f>
        <v>0.11</v>
      </c>
      <c r="H2992" s="958"/>
    </row>
    <row r="2993" spans="1:10">
      <c r="A2993" s="398"/>
      <c r="B2993" s="230" t="s">
        <v>883</v>
      </c>
      <c r="C2993" s="231" t="s">
        <v>14</v>
      </c>
      <c r="D2993" s="401">
        <v>1</v>
      </c>
      <c r="E2993" s="964">
        <f>Insumos!C874</f>
        <v>1.7563</v>
      </c>
      <c r="F2993" s="964"/>
      <c r="G2993" s="958">
        <f>ROUND(D2993*E2993,2)</f>
        <v>1.76</v>
      </c>
      <c r="H2993" s="958"/>
    </row>
    <row r="2994" spans="1:10">
      <c r="A2994" s="398"/>
      <c r="B2994" s="230" t="s">
        <v>517</v>
      </c>
      <c r="C2994" s="231" t="s">
        <v>112</v>
      </c>
      <c r="D2994" s="401">
        <v>0.14000000000000001</v>
      </c>
      <c r="E2994" s="964">
        <f>Insumos!C875</f>
        <v>8.6722999999999999</v>
      </c>
      <c r="F2994" s="964"/>
      <c r="G2994" s="958">
        <f>ROUND(D2994*E2994,2)</f>
        <v>1.21</v>
      </c>
      <c r="H2994" s="958"/>
    </row>
    <row r="2995" spans="1:10">
      <c r="A2995" s="398"/>
      <c r="B2995" s="230" t="s">
        <v>509</v>
      </c>
      <c r="C2995" s="231" t="s">
        <v>112</v>
      </c>
      <c r="D2995" s="401">
        <v>0.14000000000000001</v>
      </c>
      <c r="E2995" s="964">
        <f>Insumos!C876</f>
        <v>6.4064000000000005</v>
      </c>
      <c r="F2995" s="964"/>
      <c r="G2995" s="958">
        <f>ROUND(D2995*E2995,2)</f>
        <v>0.9</v>
      </c>
      <c r="H2995" s="958"/>
    </row>
    <row r="2996" spans="1:10">
      <c r="A2996" s="398"/>
      <c r="B2996" s="955" t="s">
        <v>536</v>
      </c>
      <c r="C2996" s="955"/>
      <c r="D2996" s="955"/>
      <c r="E2996" s="389"/>
      <c r="F2996" s="409"/>
      <c r="G2996" s="410"/>
      <c r="H2996" s="249">
        <f>SUM(G2991:H2993)</f>
        <v>2.27</v>
      </c>
    </row>
    <row r="2997" spans="1:10">
      <c r="A2997" s="398"/>
      <c r="B2997" s="955" t="s">
        <v>537</v>
      </c>
      <c r="C2997" s="955"/>
      <c r="D2997" s="955"/>
      <c r="E2997" s="389"/>
      <c r="F2997" s="409"/>
      <c r="G2997" s="410"/>
      <c r="H2997" s="249">
        <f>SUM(G2994:H2995)</f>
        <v>2.11</v>
      </c>
    </row>
    <row r="2998" spans="1:10">
      <c r="A2998" s="398"/>
      <c r="B2998" s="955" t="s">
        <v>1937</v>
      </c>
      <c r="C2998" s="955"/>
      <c r="D2998" s="955"/>
      <c r="E2998" s="389"/>
      <c r="F2998" s="409"/>
      <c r="G2998" s="410"/>
      <c r="H2998" s="249">
        <f>SUM(H2996:H2997)</f>
        <v>4.38</v>
      </c>
    </row>
    <row r="2999" spans="1:10">
      <c r="A2999" s="398"/>
      <c r="B2999" s="955" t="s">
        <v>538</v>
      </c>
      <c r="C2999" s="955"/>
      <c r="D2999" s="955"/>
      <c r="E2999" s="389"/>
      <c r="F2999" s="411" t="s">
        <v>539</v>
      </c>
      <c r="G2999" s="410"/>
      <c r="H2999" s="249">
        <f t="shared" ref="H2999" si="105">ROUND(H2998*F2999,2)</f>
        <v>1.0900000000000001</v>
      </c>
    </row>
    <row r="3000" spans="1:10">
      <c r="A3000" s="398"/>
      <c r="B3000" s="956" t="s">
        <v>540</v>
      </c>
      <c r="C3000" s="956"/>
      <c r="D3000" s="956"/>
      <c r="E3000" s="740"/>
      <c r="F3000" s="768"/>
      <c r="G3000" s="769"/>
      <c r="H3000" s="770">
        <f>SUM(H2998:H2999)</f>
        <v>5.47</v>
      </c>
    </row>
    <row r="3001" spans="1:10" s="579" customFormat="1">
      <c r="A3001" s="601"/>
      <c r="B3001" s="780"/>
      <c r="C3001" s="780"/>
      <c r="D3001" s="780"/>
      <c r="E3001" s="740"/>
      <c r="F3001" s="768"/>
      <c r="G3001" s="769"/>
      <c r="H3001" s="770"/>
      <c r="I3001" s="400"/>
      <c r="J3001" s="404"/>
    </row>
    <row r="3002" spans="1:10">
      <c r="A3002" s="403" t="s">
        <v>2544</v>
      </c>
      <c r="B3002" s="961" t="s">
        <v>884</v>
      </c>
      <c r="C3002" s="961"/>
      <c r="D3002" s="961"/>
      <c r="E3002" s="961"/>
      <c r="F3002" s="961"/>
      <c r="G3002" s="402"/>
      <c r="H3002" s="403" t="s">
        <v>88</v>
      </c>
    </row>
    <row r="3003" spans="1:10" s="406" customFormat="1" ht="15">
      <c r="A3003" s="398"/>
      <c r="B3003" s="230" t="s">
        <v>746</v>
      </c>
      <c r="C3003" s="231" t="s">
        <v>492</v>
      </c>
      <c r="D3003" s="401">
        <v>2.9000000000000001E-2</v>
      </c>
      <c r="E3003" s="964">
        <f>Insumos!C877</f>
        <v>25.898600000000002</v>
      </c>
      <c r="F3003" s="964"/>
      <c r="G3003" s="958">
        <f>ROUND(D3003*E3003,2)</f>
        <v>0.75</v>
      </c>
      <c r="H3003" s="958"/>
      <c r="I3003" s="407"/>
      <c r="J3003" s="408"/>
    </row>
    <row r="3004" spans="1:10">
      <c r="A3004" s="398"/>
      <c r="B3004" s="230" t="s">
        <v>747</v>
      </c>
      <c r="C3004" s="231" t="s">
        <v>14</v>
      </c>
      <c r="D3004" s="401">
        <v>5.6000000000000164E-3</v>
      </c>
      <c r="E3004" s="964">
        <f>Insumos!C878</f>
        <v>30.676100000000002</v>
      </c>
      <c r="F3004" s="964"/>
      <c r="G3004" s="958">
        <f>ROUND(D3004*E3004,2)</f>
        <v>0.17</v>
      </c>
      <c r="H3004" s="958"/>
    </row>
    <row r="3005" spans="1:10">
      <c r="A3005" s="398"/>
      <c r="B3005" s="230" t="s">
        <v>885</v>
      </c>
      <c r="C3005" s="231" t="s">
        <v>722</v>
      </c>
      <c r="D3005" s="401">
        <v>1.01</v>
      </c>
      <c r="E3005" s="964">
        <f>Insumos!C879</f>
        <v>2.9757000000000002</v>
      </c>
      <c r="F3005" s="964"/>
      <c r="G3005" s="958">
        <f>ROUND(D3005*E3005,2)</f>
        <v>3.01</v>
      </c>
      <c r="H3005" s="958"/>
    </row>
    <row r="3006" spans="1:10">
      <c r="A3006" s="398"/>
      <c r="B3006" s="230" t="s">
        <v>517</v>
      </c>
      <c r="C3006" s="231" t="s">
        <v>112</v>
      </c>
      <c r="D3006" s="401">
        <v>0.18</v>
      </c>
      <c r="E3006" s="964">
        <f>Insumos!C880</f>
        <v>8.6722999999999999</v>
      </c>
      <c r="F3006" s="964"/>
      <c r="G3006" s="958">
        <f>ROUND(D3006*E3006,2)</f>
        <v>1.56</v>
      </c>
      <c r="H3006" s="958"/>
    </row>
    <row r="3007" spans="1:10">
      <c r="A3007" s="398"/>
      <c r="B3007" s="230" t="s">
        <v>509</v>
      </c>
      <c r="C3007" s="231" t="s">
        <v>112</v>
      </c>
      <c r="D3007" s="401">
        <v>0.15</v>
      </c>
      <c r="E3007" s="964">
        <f>Insumos!C881</f>
        <v>6.4064000000000005</v>
      </c>
      <c r="F3007" s="964"/>
      <c r="G3007" s="958">
        <f>ROUND(D3007*E3007,2)</f>
        <v>0.96</v>
      </c>
      <c r="H3007" s="958"/>
    </row>
    <row r="3008" spans="1:10">
      <c r="A3008" s="398"/>
      <c r="B3008" s="955" t="s">
        <v>536</v>
      </c>
      <c r="C3008" s="955"/>
      <c r="D3008" s="955"/>
      <c r="E3008" s="389"/>
      <c r="F3008" s="409"/>
      <c r="G3008" s="410"/>
      <c r="H3008" s="249">
        <f>SUM(G3003:H3005)</f>
        <v>3.9299999999999997</v>
      </c>
    </row>
    <row r="3009" spans="1:10">
      <c r="A3009" s="398"/>
      <c r="B3009" s="955" t="s">
        <v>537</v>
      </c>
      <c r="C3009" s="955"/>
      <c r="D3009" s="955"/>
      <c r="E3009" s="389"/>
      <c r="F3009" s="409"/>
      <c r="G3009" s="410"/>
      <c r="H3009" s="249">
        <f>SUM(G3006:H3007)</f>
        <v>2.52</v>
      </c>
    </row>
    <row r="3010" spans="1:10">
      <c r="A3010" s="398"/>
      <c r="B3010" s="955" t="s">
        <v>1937</v>
      </c>
      <c r="C3010" s="955"/>
      <c r="D3010" s="955"/>
      <c r="E3010" s="389"/>
      <c r="F3010" s="409"/>
      <c r="G3010" s="410"/>
      <c r="H3010" s="249">
        <f>SUM(H3008:H3009)</f>
        <v>6.4499999999999993</v>
      </c>
    </row>
    <row r="3011" spans="1:10">
      <c r="A3011" s="398"/>
      <c r="B3011" s="955" t="s">
        <v>538</v>
      </c>
      <c r="C3011" s="955"/>
      <c r="D3011" s="955"/>
      <c r="E3011" s="389"/>
      <c r="F3011" s="411" t="s">
        <v>539</v>
      </c>
      <c r="G3011" s="410"/>
      <c r="H3011" s="249">
        <f t="shared" ref="H3011" si="106">ROUND(H3010*F3011,2)</f>
        <v>1.61</v>
      </c>
    </row>
    <row r="3012" spans="1:10">
      <c r="A3012" s="398"/>
      <c r="B3012" s="956" t="s">
        <v>540</v>
      </c>
      <c r="C3012" s="956"/>
      <c r="D3012" s="956"/>
      <c r="E3012" s="740"/>
      <c r="F3012" s="768"/>
      <c r="G3012" s="769"/>
      <c r="H3012" s="770">
        <f>SUM(H3010:H3011)</f>
        <v>8.0599999999999987</v>
      </c>
    </row>
    <row r="3013" spans="1:10" s="579" customFormat="1">
      <c r="A3013" s="601"/>
      <c r="B3013" s="780"/>
      <c r="C3013" s="780"/>
      <c r="D3013" s="780"/>
      <c r="E3013" s="740"/>
      <c r="F3013" s="768"/>
      <c r="G3013" s="769"/>
      <c r="H3013" s="770"/>
      <c r="I3013" s="400"/>
      <c r="J3013" s="404"/>
    </row>
    <row r="3014" spans="1:10">
      <c r="A3014" s="403" t="s">
        <v>2545</v>
      </c>
      <c r="B3014" s="961" t="s">
        <v>886</v>
      </c>
      <c r="C3014" s="961"/>
      <c r="D3014" s="961"/>
      <c r="E3014" s="961"/>
      <c r="F3014" s="961"/>
      <c r="G3014" s="402"/>
      <c r="H3014" s="403" t="s">
        <v>88</v>
      </c>
    </row>
    <row r="3015" spans="1:10" s="406" customFormat="1" ht="15">
      <c r="A3015" s="398"/>
      <c r="B3015" s="230" t="s">
        <v>746</v>
      </c>
      <c r="C3015" s="231" t="s">
        <v>492</v>
      </c>
      <c r="D3015" s="401">
        <v>5.2900000000000003E-2</v>
      </c>
      <c r="E3015" s="964">
        <f>Insumos!C882</f>
        <v>25.898600000000002</v>
      </c>
      <c r="F3015" s="964"/>
      <c r="G3015" s="958">
        <f>ROUND(D3015*E3015,2)</f>
        <v>1.37</v>
      </c>
      <c r="H3015" s="958"/>
      <c r="I3015" s="407"/>
      <c r="J3015" s="408"/>
    </row>
    <row r="3016" spans="1:10">
      <c r="A3016" s="398"/>
      <c r="B3016" s="230" t="s">
        <v>887</v>
      </c>
      <c r="C3016" s="231" t="s">
        <v>492</v>
      </c>
      <c r="D3016" s="401">
        <v>0.99750000000000005</v>
      </c>
      <c r="E3016" s="964">
        <f>Insumos!C883</f>
        <v>3.6581999999999999</v>
      </c>
      <c r="F3016" s="964"/>
      <c r="G3016" s="958">
        <f>ROUND(D3016*E3016,2)</f>
        <v>3.65</v>
      </c>
      <c r="H3016" s="958"/>
    </row>
    <row r="3017" spans="1:10">
      <c r="A3017" s="398"/>
      <c r="B3017" s="230" t="s">
        <v>747</v>
      </c>
      <c r="C3017" s="231" t="s">
        <v>14</v>
      </c>
      <c r="D3017" s="401">
        <v>8.9999999999999993E-3</v>
      </c>
      <c r="E3017" s="964">
        <f>Insumos!C884</f>
        <v>30.676100000000002</v>
      </c>
      <c r="F3017" s="964"/>
      <c r="G3017" s="958">
        <f>ROUND(D3017*E3017,2)</f>
        <v>0.28000000000000003</v>
      </c>
      <c r="H3017" s="958"/>
    </row>
    <row r="3018" spans="1:10">
      <c r="A3018" s="398"/>
      <c r="B3018" s="230" t="s">
        <v>509</v>
      </c>
      <c r="C3018" s="231" t="s">
        <v>112</v>
      </c>
      <c r="D3018" s="401">
        <v>0.21</v>
      </c>
      <c r="E3018" s="964">
        <f>Insumos!C885</f>
        <v>6.4064000000000005</v>
      </c>
      <c r="F3018" s="964"/>
      <c r="G3018" s="958">
        <f>ROUND(D3018*E3018,2)</f>
        <v>1.35</v>
      </c>
      <c r="H3018" s="958"/>
    </row>
    <row r="3019" spans="1:10">
      <c r="A3019" s="398"/>
      <c r="B3019" s="230" t="s">
        <v>517</v>
      </c>
      <c r="C3019" s="231" t="s">
        <v>112</v>
      </c>
      <c r="D3019" s="401">
        <v>0.21</v>
      </c>
      <c r="E3019" s="964">
        <f>Insumos!C886</f>
        <v>8.6722999999999999</v>
      </c>
      <c r="F3019" s="964"/>
      <c r="G3019" s="958">
        <f>ROUND(D3019*E3019,2)</f>
        <v>1.82</v>
      </c>
      <c r="H3019" s="958"/>
    </row>
    <row r="3020" spans="1:10">
      <c r="A3020" s="398"/>
      <c r="B3020" s="955" t="s">
        <v>536</v>
      </c>
      <c r="C3020" s="955"/>
      <c r="D3020" s="955"/>
      <c r="E3020" s="389"/>
      <c r="F3020" s="409"/>
      <c r="G3020" s="410"/>
      <c r="H3020" s="249">
        <f>SUM(G3015:H3017)</f>
        <v>5.3</v>
      </c>
    </row>
    <row r="3021" spans="1:10">
      <c r="A3021" s="398"/>
      <c r="B3021" s="955" t="s">
        <v>537</v>
      </c>
      <c r="C3021" s="955"/>
      <c r="D3021" s="955"/>
      <c r="E3021" s="389"/>
      <c r="F3021" s="409"/>
      <c r="G3021" s="410"/>
      <c r="H3021" s="249">
        <f>SUM(G3018:H3019)</f>
        <v>3.17</v>
      </c>
    </row>
    <row r="3022" spans="1:10">
      <c r="A3022" s="398"/>
      <c r="B3022" s="955" t="s">
        <v>1937</v>
      </c>
      <c r="C3022" s="955"/>
      <c r="D3022" s="955"/>
      <c r="E3022" s="389"/>
      <c r="F3022" s="409"/>
      <c r="G3022" s="410"/>
      <c r="H3022" s="249">
        <f>SUM(H3020:H3021)</f>
        <v>8.4699999999999989</v>
      </c>
    </row>
    <row r="3023" spans="1:10">
      <c r="A3023" s="398"/>
      <c r="B3023" s="955" t="s">
        <v>538</v>
      </c>
      <c r="C3023" s="955"/>
      <c r="D3023" s="955"/>
      <c r="E3023" s="389"/>
      <c r="F3023" s="411" t="s">
        <v>539</v>
      </c>
      <c r="G3023" s="410"/>
      <c r="H3023" s="249">
        <f t="shared" ref="H3023" si="107">ROUND(H3022*F3023,2)</f>
        <v>2.11</v>
      </c>
    </row>
    <row r="3024" spans="1:10" s="406" customFormat="1" ht="15">
      <c r="A3024" s="398"/>
      <c r="B3024" s="956" t="s">
        <v>540</v>
      </c>
      <c r="C3024" s="956"/>
      <c r="D3024" s="956"/>
      <c r="E3024" s="740"/>
      <c r="F3024" s="768"/>
      <c r="G3024" s="769"/>
      <c r="H3024" s="770">
        <f>SUM(H3022:H3023)</f>
        <v>10.579999999999998</v>
      </c>
      <c r="I3024" s="407"/>
      <c r="J3024" s="408"/>
    </row>
    <row r="3025" spans="1:10" s="581" customFormat="1" ht="15">
      <c r="A3025" s="601"/>
      <c r="B3025" s="780"/>
      <c r="C3025" s="780"/>
      <c r="D3025" s="780"/>
      <c r="E3025" s="740"/>
      <c r="F3025" s="768"/>
      <c r="G3025" s="769"/>
      <c r="H3025" s="770"/>
      <c r="I3025" s="603"/>
      <c r="J3025" s="604"/>
    </row>
    <row r="3026" spans="1:10">
      <c r="A3026" s="403" t="s">
        <v>2546</v>
      </c>
      <c r="B3026" s="961" t="s">
        <v>888</v>
      </c>
      <c r="C3026" s="961"/>
      <c r="D3026" s="961"/>
      <c r="E3026" s="961"/>
      <c r="F3026" s="961"/>
      <c r="G3026" s="402"/>
      <c r="H3026" s="403" t="s">
        <v>88</v>
      </c>
    </row>
    <row r="3027" spans="1:10">
      <c r="A3027" s="398"/>
      <c r="B3027" s="230" t="s">
        <v>889</v>
      </c>
      <c r="C3027" s="231" t="s">
        <v>14</v>
      </c>
      <c r="D3027" s="401">
        <v>1</v>
      </c>
      <c r="E3027" s="959">
        <f>Insumos!C887</f>
        <v>2.7755000000000001</v>
      </c>
      <c r="F3027" s="959"/>
      <c r="G3027" s="958">
        <f>ROUND(D3027*E3027,2)</f>
        <v>2.78</v>
      </c>
      <c r="H3027" s="958"/>
    </row>
    <row r="3028" spans="1:10">
      <c r="A3028" s="398"/>
      <c r="B3028" s="230" t="s">
        <v>516</v>
      </c>
      <c r="C3028" s="231" t="s">
        <v>112</v>
      </c>
      <c r="D3028" s="401">
        <v>0.36</v>
      </c>
      <c r="E3028" s="959">
        <f>Insumos!C888</f>
        <v>7.0798000000000005</v>
      </c>
      <c r="F3028" s="959"/>
      <c r="G3028" s="958">
        <f>ROUND(D3028*E3028,2)</f>
        <v>2.5499999999999998</v>
      </c>
      <c r="H3028" s="958"/>
    </row>
    <row r="3029" spans="1:10">
      <c r="A3029" s="398"/>
      <c r="B3029" s="230" t="s">
        <v>517</v>
      </c>
      <c r="C3029" s="231" t="s">
        <v>112</v>
      </c>
      <c r="D3029" s="401">
        <v>0.36</v>
      </c>
      <c r="E3029" s="959">
        <f>Insumos!C889</f>
        <v>8.6722999999999999</v>
      </c>
      <c r="F3029" s="959"/>
      <c r="G3029" s="958">
        <f>ROUND(D3029*E3029,2)</f>
        <v>3.12</v>
      </c>
      <c r="H3029" s="958"/>
    </row>
    <row r="3030" spans="1:10">
      <c r="A3030" s="398"/>
      <c r="B3030" s="955" t="s">
        <v>536</v>
      </c>
      <c r="C3030" s="955"/>
      <c r="D3030" s="955"/>
      <c r="E3030" s="389"/>
      <c r="F3030" s="409"/>
      <c r="G3030" s="410"/>
      <c r="H3030" s="249">
        <f>SUM(G3027)</f>
        <v>2.78</v>
      </c>
    </row>
    <row r="3031" spans="1:10">
      <c r="A3031" s="398"/>
      <c r="B3031" s="955" t="s">
        <v>537</v>
      </c>
      <c r="C3031" s="955"/>
      <c r="D3031" s="955"/>
      <c r="E3031" s="389"/>
      <c r="F3031" s="409"/>
      <c r="G3031" s="410"/>
      <c r="H3031" s="249">
        <f>SUM(G3028:H3029)</f>
        <v>5.67</v>
      </c>
    </row>
    <row r="3032" spans="1:10">
      <c r="A3032" s="398"/>
      <c r="B3032" s="955" t="s">
        <v>1937</v>
      </c>
      <c r="C3032" s="955"/>
      <c r="D3032" s="955"/>
      <c r="E3032" s="389"/>
      <c r="F3032" s="409"/>
      <c r="G3032" s="410"/>
      <c r="H3032" s="249">
        <f>SUM(H3030:H3031)</f>
        <v>8.4499999999999993</v>
      </c>
    </row>
    <row r="3033" spans="1:10">
      <c r="A3033" s="398"/>
      <c r="B3033" s="955" t="s">
        <v>538</v>
      </c>
      <c r="C3033" s="955"/>
      <c r="D3033" s="955"/>
      <c r="E3033" s="389"/>
      <c r="F3033" s="411" t="s">
        <v>539</v>
      </c>
      <c r="G3033" s="410"/>
      <c r="H3033" s="249">
        <f t="shared" ref="H3033" si="108">ROUND(H3032*F3033,2)</f>
        <v>2.11</v>
      </c>
    </row>
    <row r="3034" spans="1:10">
      <c r="A3034" s="398"/>
      <c r="B3034" s="956" t="s">
        <v>540</v>
      </c>
      <c r="C3034" s="956"/>
      <c r="D3034" s="956"/>
      <c r="E3034" s="740"/>
      <c r="F3034" s="768"/>
      <c r="G3034" s="769"/>
      <c r="H3034" s="770">
        <f>SUM(H3032:H3033)</f>
        <v>10.559999999999999</v>
      </c>
    </row>
    <row r="3035" spans="1:10" s="579" customFormat="1">
      <c r="A3035" s="601"/>
      <c r="B3035" s="780"/>
      <c r="C3035" s="780"/>
      <c r="D3035" s="780"/>
      <c r="E3035" s="740"/>
      <c r="F3035" s="768"/>
      <c r="G3035" s="769"/>
      <c r="H3035" s="770"/>
      <c r="I3035" s="400"/>
      <c r="J3035" s="404"/>
    </row>
    <row r="3036" spans="1:10" s="406" customFormat="1" ht="15">
      <c r="A3036" s="403" t="s">
        <v>2547</v>
      </c>
      <c r="B3036" s="961" t="s">
        <v>890</v>
      </c>
      <c r="C3036" s="961"/>
      <c r="D3036" s="961"/>
      <c r="E3036" s="961"/>
      <c r="F3036" s="961"/>
      <c r="G3036" s="402"/>
      <c r="H3036" s="403" t="s">
        <v>88</v>
      </c>
      <c r="I3036" s="407"/>
      <c r="J3036" s="408"/>
    </row>
    <row r="3037" spans="1:10" s="470" customFormat="1" ht="15">
      <c r="A3037" s="398"/>
      <c r="B3037" s="230" t="s">
        <v>891</v>
      </c>
      <c r="C3037" s="231" t="s">
        <v>14</v>
      </c>
      <c r="D3037" s="401">
        <v>1</v>
      </c>
      <c r="E3037" s="959">
        <f>Insumos!C890</f>
        <v>3.0211999999999999</v>
      </c>
      <c r="F3037" s="959"/>
      <c r="G3037" s="958">
        <f>ROUND(D3037*E3037,2)</f>
        <v>3.02</v>
      </c>
      <c r="H3037" s="958"/>
      <c r="I3037" s="407"/>
      <c r="J3037" s="469"/>
    </row>
    <row r="3038" spans="1:10" s="470" customFormat="1" ht="15">
      <c r="A3038" s="398"/>
      <c r="B3038" s="230" t="s">
        <v>516</v>
      </c>
      <c r="C3038" s="231" t="s">
        <v>112</v>
      </c>
      <c r="D3038" s="401">
        <v>0.22</v>
      </c>
      <c r="E3038" s="959">
        <f>Insumos!C891</f>
        <v>7.0798000000000005</v>
      </c>
      <c r="F3038" s="959"/>
      <c r="G3038" s="958">
        <f>ROUND(D3038*E3038,2)</f>
        <v>1.56</v>
      </c>
      <c r="H3038" s="958"/>
      <c r="I3038" s="407"/>
      <c r="J3038" s="469"/>
    </row>
    <row r="3039" spans="1:10" s="470" customFormat="1" ht="15">
      <c r="A3039" s="398"/>
      <c r="B3039" s="230" t="s">
        <v>517</v>
      </c>
      <c r="C3039" s="231" t="s">
        <v>112</v>
      </c>
      <c r="D3039" s="401">
        <v>0.22</v>
      </c>
      <c r="E3039" s="959">
        <f>Insumos!C892</f>
        <v>8.6722999999999999</v>
      </c>
      <c r="F3039" s="959"/>
      <c r="G3039" s="958">
        <f>ROUND(D3039*E3039,2)</f>
        <v>1.91</v>
      </c>
      <c r="H3039" s="958"/>
      <c r="I3039" s="407"/>
      <c r="J3039" s="469"/>
    </row>
    <row r="3040" spans="1:10" s="406" customFormat="1" ht="15">
      <c r="A3040" s="398"/>
      <c r="B3040" s="955" t="s">
        <v>536</v>
      </c>
      <c r="C3040" s="955"/>
      <c r="D3040" s="955"/>
      <c r="E3040" s="389"/>
      <c r="F3040" s="409"/>
      <c r="G3040" s="410"/>
      <c r="H3040" s="249">
        <f>SUM(G3037)</f>
        <v>3.02</v>
      </c>
      <c r="I3040" s="407"/>
      <c r="J3040" s="408"/>
    </row>
    <row r="3041" spans="1:10">
      <c r="A3041" s="398"/>
      <c r="B3041" s="955" t="s">
        <v>537</v>
      </c>
      <c r="C3041" s="955"/>
      <c r="D3041" s="955"/>
      <c r="E3041" s="389"/>
      <c r="F3041" s="409"/>
      <c r="G3041" s="410"/>
      <c r="H3041" s="249">
        <f>SUM(G3038:H3039)</f>
        <v>3.4699999999999998</v>
      </c>
    </row>
    <row r="3042" spans="1:10">
      <c r="A3042" s="398"/>
      <c r="B3042" s="955" t="s">
        <v>1937</v>
      </c>
      <c r="C3042" s="955"/>
      <c r="D3042" s="955"/>
      <c r="E3042" s="389"/>
      <c r="F3042" s="409"/>
      <c r="G3042" s="410"/>
      <c r="H3042" s="249">
        <f>SUM(H3040:H3041)</f>
        <v>6.49</v>
      </c>
    </row>
    <row r="3043" spans="1:10">
      <c r="A3043" s="398"/>
      <c r="B3043" s="955" t="s">
        <v>538</v>
      </c>
      <c r="C3043" s="955"/>
      <c r="D3043" s="955"/>
      <c r="E3043" s="389"/>
      <c r="F3043" s="411" t="s">
        <v>539</v>
      </c>
      <c r="G3043" s="410"/>
      <c r="H3043" s="249">
        <f t="shared" ref="H3043" si="109">ROUND(H3042*F3043,2)</f>
        <v>1.62</v>
      </c>
    </row>
    <row r="3044" spans="1:10">
      <c r="A3044" s="398"/>
      <c r="B3044" s="956" t="s">
        <v>540</v>
      </c>
      <c r="C3044" s="956"/>
      <c r="D3044" s="956"/>
      <c r="E3044" s="740"/>
      <c r="F3044" s="768"/>
      <c r="G3044" s="769"/>
      <c r="H3044" s="770">
        <f>SUM(H3042:H3043)</f>
        <v>8.11</v>
      </c>
    </row>
    <row r="3045" spans="1:10" s="579" customFormat="1">
      <c r="A3045" s="601"/>
      <c r="B3045" s="780"/>
      <c r="C3045" s="780"/>
      <c r="D3045" s="780"/>
      <c r="E3045" s="740"/>
      <c r="F3045" s="768"/>
      <c r="G3045" s="769"/>
      <c r="H3045" s="770"/>
      <c r="I3045" s="400"/>
      <c r="J3045" s="404"/>
    </row>
    <row r="3046" spans="1:10">
      <c r="A3046" s="403" t="s">
        <v>2548</v>
      </c>
      <c r="B3046" s="961" t="s">
        <v>892</v>
      </c>
      <c r="C3046" s="961"/>
      <c r="D3046" s="961"/>
      <c r="E3046" s="961"/>
      <c r="F3046" s="961"/>
      <c r="G3046" s="402"/>
      <c r="H3046" s="403" t="s">
        <v>88</v>
      </c>
    </row>
    <row r="3047" spans="1:10">
      <c r="A3047" s="398"/>
      <c r="B3047" s="230" t="s">
        <v>893</v>
      </c>
      <c r="C3047" s="231" t="s">
        <v>14</v>
      </c>
      <c r="D3047" s="401">
        <v>1</v>
      </c>
      <c r="E3047" s="959">
        <f>Insumos!C893</f>
        <v>8.1809000000000012</v>
      </c>
      <c r="F3047" s="959"/>
      <c r="G3047" s="958">
        <f>ROUND(D3047*E3047,2)</f>
        <v>8.18</v>
      </c>
      <c r="H3047" s="958"/>
    </row>
    <row r="3048" spans="1:10">
      <c r="A3048" s="398"/>
      <c r="B3048" s="230" t="s">
        <v>516</v>
      </c>
      <c r="C3048" s="231" t="s">
        <v>112</v>
      </c>
      <c r="D3048" s="401">
        <v>0.45</v>
      </c>
      <c r="E3048" s="959">
        <f>Insumos!C894</f>
        <v>7.0798000000000005</v>
      </c>
      <c r="F3048" s="959"/>
      <c r="G3048" s="958">
        <f>ROUND(D3048*E3048,2)</f>
        <v>3.19</v>
      </c>
      <c r="H3048" s="958"/>
    </row>
    <row r="3049" spans="1:10">
      <c r="A3049" s="398"/>
      <c r="B3049" s="230" t="s">
        <v>517</v>
      </c>
      <c r="C3049" s="231" t="s">
        <v>112</v>
      </c>
      <c r="D3049" s="401">
        <v>0.45</v>
      </c>
      <c r="E3049" s="959">
        <f>Insumos!C895</f>
        <v>8.6722999999999999</v>
      </c>
      <c r="F3049" s="959"/>
      <c r="G3049" s="958">
        <f>ROUND(D3049*E3049,2)</f>
        <v>3.9</v>
      </c>
      <c r="H3049" s="958"/>
    </row>
    <row r="3050" spans="1:10" s="406" customFormat="1" ht="15">
      <c r="A3050" s="398"/>
      <c r="B3050" s="955" t="s">
        <v>536</v>
      </c>
      <c r="C3050" s="955"/>
      <c r="D3050" s="955"/>
      <c r="E3050" s="389"/>
      <c r="F3050" s="409"/>
      <c r="G3050" s="410"/>
      <c r="H3050" s="249">
        <f>SUM(G3047)</f>
        <v>8.18</v>
      </c>
      <c r="I3050" s="407"/>
      <c r="J3050" s="408"/>
    </row>
    <row r="3051" spans="1:10" s="470" customFormat="1" ht="15">
      <c r="A3051" s="398"/>
      <c r="B3051" s="955" t="s">
        <v>537</v>
      </c>
      <c r="C3051" s="955"/>
      <c r="D3051" s="955"/>
      <c r="E3051" s="389"/>
      <c r="F3051" s="409"/>
      <c r="G3051" s="410"/>
      <c r="H3051" s="249">
        <f>SUM(G3048:H3049)</f>
        <v>7.09</v>
      </c>
      <c r="I3051" s="407"/>
      <c r="J3051" s="469"/>
    </row>
    <row r="3052" spans="1:10" s="470" customFormat="1" ht="15">
      <c r="A3052" s="398"/>
      <c r="B3052" s="955" t="s">
        <v>1937</v>
      </c>
      <c r="C3052" s="955"/>
      <c r="D3052" s="955"/>
      <c r="E3052" s="389"/>
      <c r="F3052" s="409"/>
      <c r="G3052" s="410"/>
      <c r="H3052" s="249">
        <f>SUM(H3050:H3051)</f>
        <v>15.27</v>
      </c>
      <c r="I3052" s="407"/>
      <c r="J3052" s="469"/>
    </row>
    <row r="3053" spans="1:10" s="406" customFormat="1" ht="15">
      <c r="A3053" s="398"/>
      <c r="B3053" s="955" t="s">
        <v>538</v>
      </c>
      <c r="C3053" s="955"/>
      <c r="D3053" s="955"/>
      <c r="E3053" s="389"/>
      <c r="F3053" s="411" t="s">
        <v>539</v>
      </c>
      <c r="G3053" s="410"/>
      <c r="H3053" s="249">
        <f t="shared" ref="H3053" si="110">ROUND(H3052*F3053,2)</f>
        <v>3.81</v>
      </c>
      <c r="I3053" s="407"/>
      <c r="J3053" s="408"/>
    </row>
    <row r="3054" spans="1:10">
      <c r="A3054" s="398"/>
      <c r="B3054" s="956" t="s">
        <v>540</v>
      </c>
      <c r="C3054" s="956"/>
      <c r="D3054" s="956"/>
      <c r="E3054" s="740"/>
      <c r="F3054" s="768"/>
      <c r="G3054" s="769"/>
      <c r="H3054" s="770">
        <f>SUM(H3052:H3053)</f>
        <v>19.079999999999998</v>
      </c>
    </row>
    <row r="3055" spans="1:10" s="579" customFormat="1">
      <c r="A3055" s="601"/>
      <c r="B3055" s="780"/>
      <c r="C3055" s="780"/>
      <c r="D3055" s="780"/>
      <c r="E3055" s="740"/>
      <c r="F3055" s="768"/>
      <c r="G3055" s="769"/>
      <c r="H3055" s="770"/>
      <c r="I3055" s="400"/>
      <c r="J3055" s="404"/>
    </row>
    <row r="3056" spans="1:10">
      <c r="A3056" s="403" t="s">
        <v>2549</v>
      </c>
      <c r="B3056" s="961" t="s">
        <v>894</v>
      </c>
      <c r="C3056" s="961"/>
      <c r="D3056" s="961"/>
      <c r="E3056" s="961"/>
      <c r="F3056" s="961"/>
      <c r="G3056" s="402"/>
      <c r="H3056" s="403" t="s">
        <v>88</v>
      </c>
    </row>
    <row r="3057" spans="1:10">
      <c r="A3057" s="398"/>
      <c r="B3057" s="230" t="s">
        <v>746</v>
      </c>
      <c r="C3057" s="231" t="s">
        <v>492</v>
      </c>
      <c r="D3057" s="436">
        <v>4.1571129600000041E-2</v>
      </c>
      <c r="E3057" s="964">
        <f>Insumos!C896</f>
        <v>25.898600000000002</v>
      </c>
      <c r="F3057" s="964"/>
      <c r="G3057" s="958">
        <f>ROUND(D3057*E3057,2)</f>
        <v>1.08</v>
      </c>
      <c r="H3057" s="958"/>
    </row>
    <row r="3058" spans="1:10">
      <c r="A3058" s="398"/>
      <c r="B3058" s="230" t="s">
        <v>747</v>
      </c>
      <c r="C3058" s="231" t="s">
        <v>14</v>
      </c>
      <c r="D3058" s="436">
        <v>6.0000000000000001E-3</v>
      </c>
      <c r="E3058" s="964">
        <f>Insumos!C897</f>
        <v>30.676100000000002</v>
      </c>
      <c r="F3058" s="964"/>
      <c r="G3058" s="958">
        <f>ROUND(D3058*E3058,2)</f>
        <v>0.18</v>
      </c>
      <c r="H3058" s="958"/>
    </row>
    <row r="3059" spans="1:10">
      <c r="A3059" s="398"/>
      <c r="B3059" s="230" t="s">
        <v>895</v>
      </c>
      <c r="C3059" s="231" t="s">
        <v>14</v>
      </c>
      <c r="D3059" s="436">
        <v>1</v>
      </c>
      <c r="E3059" s="964">
        <f>Insumos!C898</f>
        <v>4.1405000000000003</v>
      </c>
      <c r="F3059" s="964"/>
      <c r="G3059" s="958">
        <f>ROUND(D3059*E3059,2)</f>
        <v>4.1399999999999997</v>
      </c>
      <c r="H3059" s="958"/>
    </row>
    <row r="3060" spans="1:10">
      <c r="A3060" s="398"/>
      <c r="B3060" s="230" t="s">
        <v>517</v>
      </c>
      <c r="C3060" s="231" t="s">
        <v>112</v>
      </c>
      <c r="D3060" s="436">
        <v>0.28000000000000003</v>
      </c>
      <c r="E3060" s="964">
        <f>Insumos!C899</f>
        <v>8.6722999999999999</v>
      </c>
      <c r="F3060" s="964"/>
      <c r="G3060" s="958">
        <f>ROUND(D3060*E3060,2)</f>
        <v>2.4300000000000002</v>
      </c>
      <c r="H3060" s="958"/>
    </row>
    <row r="3061" spans="1:10">
      <c r="A3061" s="398"/>
      <c r="B3061" s="230" t="s">
        <v>509</v>
      </c>
      <c r="C3061" s="231" t="s">
        <v>112</v>
      </c>
      <c r="D3061" s="436">
        <v>0.28000000000000003</v>
      </c>
      <c r="E3061" s="964">
        <f>Insumos!C900</f>
        <v>6.4064000000000005</v>
      </c>
      <c r="F3061" s="964"/>
      <c r="G3061" s="958">
        <f>ROUND(D3061*E3061,2)</f>
        <v>1.79</v>
      </c>
      <c r="H3061" s="958"/>
    </row>
    <row r="3062" spans="1:10">
      <c r="A3062" s="398"/>
      <c r="B3062" s="955" t="s">
        <v>536</v>
      </c>
      <c r="C3062" s="955"/>
      <c r="D3062" s="955"/>
      <c r="E3062" s="389"/>
      <c r="F3062" s="409"/>
      <c r="G3062" s="410"/>
      <c r="H3062" s="249">
        <f>SUM(G3057:H3059)</f>
        <v>5.3999999999999995</v>
      </c>
    </row>
    <row r="3063" spans="1:10">
      <c r="A3063" s="398"/>
      <c r="B3063" s="955" t="s">
        <v>537</v>
      </c>
      <c r="C3063" s="955"/>
      <c r="D3063" s="955"/>
      <c r="E3063" s="389"/>
      <c r="F3063" s="409"/>
      <c r="G3063" s="410"/>
      <c r="H3063" s="249">
        <f>SUM(G3060:H3061)</f>
        <v>4.2200000000000006</v>
      </c>
    </row>
    <row r="3064" spans="1:10" s="406" customFormat="1" ht="15">
      <c r="A3064" s="398"/>
      <c r="B3064" s="955" t="s">
        <v>1937</v>
      </c>
      <c r="C3064" s="955"/>
      <c r="D3064" s="955"/>
      <c r="E3064" s="389"/>
      <c r="F3064" s="409"/>
      <c r="G3064" s="410"/>
      <c r="H3064" s="249">
        <f>SUM(H3062:H3063)</f>
        <v>9.620000000000001</v>
      </c>
      <c r="I3064" s="407"/>
      <c r="J3064" s="408"/>
    </row>
    <row r="3065" spans="1:10">
      <c r="A3065" s="398"/>
      <c r="B3065" s="955" t="s">
        <v>538</v>
      </c>
      <c r="C3065" s="955"/>
      <c r="D3065" s="955"/>
      <c r="E3065" s="389"/>
      <c r="F3065" s="411" t="s">
        <v>539</v>
      </c>
      <c r="G3065" s="410"/>
      <c r="H3065" s="249">
        <f t="shared" ref="H3065" si="111">ROUND(H3064*F3065,2)</f>
        <v>2.4</v>
      </c>
    </row>
    <row r="3066" spans="1:10">
      <c r="A3066" s="398"/>
      <c r="B3066" s="956" t="s">
        <v>540</v>
      </c>
      <c r="C3066" s="956"/>
      <c r="D3066" s="956"/>
      <c r="E3066" s="740"/>
      <c r="F3066" s="768"/>
      <c r="G3066" s="769"/>
      <c r="H3066" s="770">
        <f>SUM(H3064:H3065)</f>
        <v>12.020000000000001</v>
      </c>
    </row>
    <row r="3067" spans="1:10" s="579" customFormat="1">
      <c r="A3067" s="601"/>
      <c r="B3067" s="780"/>
      <c r="C3067" s="780"/>
      <c r="D3067" s="780"/>
      <c r="E3067" s="740"/>
      <c r="F3067" s="768"/>
      <c r="G3067" s="769"/>
      <c r="H3067" s="770"/>
      <c r="I3067" s="400"/>
      <c r="J3067" s="404"/>
    </row>
    <row r="3068" spans="1:10">
      <c r="A3068" s="403" t="s">
        <v>2550</v>
      </c>
      <c r="B3068" s="961" t="s">
        <v>896</v>
      </c>
      <c r="C3068" s="961"/>
      <c r="D3068" s="961"/>
      <c r="E3068" s="961"/>
      <c r="F3068" s="961"/>
      <c r="G3068" s="402"/>
      <c r="H3068" s="403" t="s">
        <v>88</v>
      </c>
    </row>
    <row r="3069" spans="1:10">
      <c r="A3069" s="398"/>
      <c r="B3069" s="230" t="s">
        <v>746</v>
      </c>
      <c r="C3069" s="231" t="s">
        <v>492</v>
      </c>
      <c r="D3069" s="401">
        <v>5.2900000000000003E-2</v>
      </c>
      <c r="E3069" s="964">
        <f>Insumos!C901</f>
        <v>25.898600000000002</v>
      </c>
      <c r="F3069" s="964"/>
      <c r="G3069" s="958">
        <f>ROUND(D3069*E3069,2)</f>
        <v>1.37</v>
      </c>
      <c r="H3069" s="958"/>
    </row>
    <row r="3070" spans="1:10">
      <c r="A3070" s="398"/>
      <c r="B3070" s="230" t="s">
        <v>747</v>
      </c>
      <c r="C3070" s="231" t="s">
        <v>14</v>
      </c>
      <c r="D3070" s="401">
        <v>8.0000000000000002E-3</v>
      </c>
      <c r="E3070" s="964">
        <f>Insumos!C902</f>
        <v>30.676100000000002</v>
      </c>
      <c r="F3070" s="964"/>
      <c r="G3070" s="958">
        <f>ROUND(D3070*E3070,2)</f>
        <v>0.25</v>
      </c>
      <c r="H3070" s="958"/>
    </row>
    <row r="3071" spans="1:10">
      <c r="A3071" s="398"/>
      <c r="B3071" s="230" t="s">
        <v>897</v>
      </c>
      <c r="C3071" s="231" t="s">
        <v>14</v>
      </c>
      <c r="D3071" s="401">
        <v>1</v>
      </c>
      <c r="E3071" s="964">
        <f>Insumos!C903</f>
        <v>10.710699999999999</v>
      </c>
      <c r="F3071" s="964"/>
      <c r="G3071" s="958">
        <f>ROUND(D3071*E3071,2)</f>
        <v>10.71</v>
      </c>
      <c r="H3071" s="958"/>
    </row>
    <row r="3072" spans="1:10">
      <c r="A3072" s="398"/>
      <c r="B3072" s="230" t="s">
        <v>509</v>
      </c>
      <c r="C3072" s="231" t="s">
        <v>112</v>
      </c>
      <c r="D3072" s="401">
        <v>0.35</v>
      </c>
      <c r="E3072" s="964">
        <f>Insumos!C904</f>
        <v>6.4064000000000005</v>
      </c>
      <c r="F3072" s="964"/>
      <c r="G3072" s="958">
        <f>ROUND(D3072*E3072,2)</f>
        <v>2.2400000000000002</v>
      </c>
      <c r="H3072" s="958"/>
    </row>
    <row r="3073" spans="1:10">
      <c r="A3073" s="398"/>
      <c r="B3073" s="230" t="s">
        <v>517</v>
      </c>
      <c r="C3073" s="231" t="s">
        <v>112</v>
      </c>
      <c r="D3073" s="401">
        <v>0.35</v>
      </c>
      <c r="E3073" s="964">
        <f>Insumos!C905</f>
        <v>8.6722999999999999</v>
      </c>
      <c r="F3073" s="964"/>
      <c r="G3073" s="958">
        <f>ROUND(D3073*E3073,2)</f>
        <v>3.04</v>
      </c>
      <c r="H3073" s="958"/>
    </row>
    <row r="3074" spans="1:10">
      <c r="A3074" s="398"/>
      <c r="B3074" s="955" t="s">
        <v>536</v>
      </c>
      <c r="C3074" s="955"/>
      <c r="D3074" s="955"/>
      <c r="E3074" s="389"/>
      <c r="F3074" s="409"/>
      <c r="G3074" s="410"/>
      <c r="H3074" s="249">
        <f>SUM(G3069:H3071)</f>
        <v>12.330000000000002</v>
      </c>
    </row>
    <row r="3075" spans="1:10">
      <c r="A3075" s="398"/>
      <c r="B3075" s="955" t="s">
        <v>537</v>
      </c>
      <c r="C3075" s="955"/>
      <c r="D3075" s="955"/>
      <c r="E3075" s="389"/>
      <c r="F3075" s="409"/>
      <c r="G3075" s="410"/>
      <c r="H3075" s="249">
        <f>SUM(G3072:H3073)</f>
        <v>5.28</v>
      </c>
    </row>
    <row r="3076" spans="1:10">
      <c r="A3076" s="398"/>
      <c r="B3076" s="955" t="s">
        <v>1937</v>
      </c>
      <c r="C3076" s="955"/>
      <c r="D3076" s="955"/>
      <c r="E3076" s="389"/>
      <c r="F3076" s="409"/>
      <c r="G3076" s="410"/>
      <c r="H3076" s="249">
        <f>SUM(H3074:H3075)</f>
        <v>17.610000000000003</v>
      </c>
    </row>
    <row r="3077" spans="1:10" s="406" customFormat="1" ht="15">
      <c r="A3077" s="398"/>
      <c r="B3077" s="955" t="s">
        <v>538</v>
      </c>
      <c r="C3077" s="955"/>
      <c r="D3077" s="955"/>
      <c r="E3077" s="389"/>
      <c r="F3077" s="411" t="s">
        <v>539</v>
      </c>
      <c r="G3077" s="410"/>
      <c r="H3077" s="249">
        <f t="shared" ref="H3077" si="112">ROUND(H3076*F3077,2)</f>
        <v>4.4000000000000004</v>
      </c>
      <c r="I3077" s="407"/>
      <c r="J3077" s="408"/>
    </row>
    <row r="3078" spans="1:10">
      <c r="A3078" s="398"/>
      <c r="B3078" s="956" t="s">
        <v>540</v>
      </c>
      <c r="C3078" s="956"/>
      <c r="D3078" s="956"/>
      <c r="E3078" s="740"/>
      <c r="F3078" s="768"/>
      <c r="G3078" s="769"/>
      <c r="H3078" s="770">
        <f>SUM(H3076:H3077)</f>
        <v>22.010000000000005</v>
      </c>
    </row>
    <row r="3079" spans="1:10" s="579" customFormat="1">
      <c r="A3079" s="601"/>
      <c r="B3079" s="780"/>
      <c r="C3079" s="780"/>
      <c r="D3079" s="780"/>
      <c r="E3079" s="740"/>
      <c r="F3079" s="768"/>
      <c r="G3079" s="769"/>
      <c r="H3079" s="770"/>
      <c r="I3079" s="400"/>
      <c r="J3079" s="404"/>
    </row>
    <row r="3080" spans="1:10">
      <c r="A3080" s="403" t="s">
        <v>2622</v>
      </c>
      <c r="B3080" s="961" t="s">
        <v>898</v>
      </c>
      <c r="C3080" s="961"/>
      <c r="D3080" s="961"/>
      <c r="E3080" s="961"/>
      <c r="F3080" s="961"/>
      <c r="G3080" s="402"/>
      <c r="H3080" s="403" t="s">
        <v>88</v>
      </c>
    </row>
    <row r="3081" spans="1:10">
      <c r="A3081" s="398"/>
      <c r="B3081" s="230" t="s">
        <v>899</v>
      </c>
      <c r="C3081" s="231" t="s">
        <v>722</v>
      </c>
      <c r="D3081" s="401">
        <v>1</v>
      </c>
      <c r="E3081" s="964">
        <f>Insumos!C906</f>
        <v>7.7622999999999998</v>
      </c>
      <c r="F3081" s="964"/>
      <c r="G3081" s="958">
        <f t="shared" ref="G3081:G3086" si="113">ROUND(D3081*E3081,2)</f>
        <v>7.76</v>
      </c>
      <c r="H3081" s="958"/>
    </row>
    <row r="3082" spans="1:10">
      <c r="A3082" s="398"/>
      <c r="B3082" s="230" t="s">
        <v>900</v>
      </c>
      <c r="C3082" s="231" t="s">
        <v>14</v>
      </c>
      <c r="D3082" s="401">
        <v>8.1200000000000064E-2</v>
      </c>
      <c r="E3082" s="964">
        <f>Insumos!C907</f>
        <v>21.8764</v>
      </c>
      <c r="F3082" s="964"/>
      <c r="G3082" s="958">
        <f t="shared" si="113"/>
        <v>1.78</v>
      </c>
      <c r="H3082" s="958"/>
    </row>
    <row r="3083" spans="1:10">
      <c r="A3083" s="398"/>
      <c r="B3083" s="230" t="s">
        <v>901</v>
      </c>
      <c r="C3083" s="231" t="s">
        <v>14</v>
      </c>
      <c r="D3083" s="401">
        <v>1</v>
      </c>
      <c r="E3083" s="964">
        <f>Insumos!C908</f>
        <v>0.69159999999999999</v>
      </c>
      <c r="F3083" s="964"/>
      <c r="G3083" s="958">
        <f t="shared" si="113"/>
        <v>0.69</v>
      </c>
      <c r="H3083" s="958"/>
    </row>
    <row r="3084" spans="1:10">
      <c r="A3084" s="398"/>
      <c r="B3084" s="230" t="s">
        <v>902</v>
      </c>
      <c r="C3084" s="231" t="s">
        <v>14</v>
      </c>
      <c r="D3084" s="401">
        <v>1.0300000000000036</v>
      </c>
      <c r="E3084" s="964">
        <f>Insumos!C909</f>
        <v>0.88270000000000004</v>
      </c>
      <c r="F3084" s="964"/>
      <c r="G3084" s="958">
        <f t="shared" si="113"/>
        <v>0.91</v>
      </c>
      <c r="H3084" s="958"/>
    </row>
    <row r="3085" spans="1:10">
      <c r="A3085" s="398"/>
      <c r="B3085" s="230" t="s">
        <v>517</v>
      </c>
      <c r="C3085" s="231" t="s">
        <v>112</v>
      </c>
      <c r="D3085" s="401">
        <v>0.36</v>
      </c>
      <c r="E3085" s="964">
        <f>Insumos!C910</f>
        <v>8.6722999999999999</v>
      </c>
      <c r="F3085" s="964"/>
      <c r="G3085" s="958">
        <f t="shared" si="113"/>
        <v>3.12</v>
      </c>
      <c r="H3085" s="958"/>
    </row>
    <row r="3086" spans="1:10">
      <c r="A3086" s="398"/>
      <c r="B3086" s="230" t="s">
        <v>509</v>
      </c>
      <c r="C3086" s="231" t="s">
        <v>112</v>
      </c>
      <c r="D3086" s="401">
        <v>0.35</v>
      </c>
      <c r="E3086" s="964">
        <f>Insumos!C911</f>
        <v>6.4064000000000005</v>
      </c>
      <c r="F3086" s="964"/>
      <c r="G3086" s="958">
        <f t="shared" si="113"/>
        <v>2.2400000000000002</v>
      </c>
      <c r="H3086" s="958"/>
    </row>
    <row r="3087" spans="1:10">
      <c r="A3087" s="398"/>
      <c r="B3087" s="955" t="s">
        <v>536</v>
      </c>
      <c r="C3087" s="955"/>
      <c r="D3087" s="955"/>
      <c r="E3087" s="389"/>
      <c r="F3087" s="409"/>
      <c r="G3087" s="410"/>
      <c r="H3087" s="249">
        <f>SUM(G3081:H3084)</f>
        <v>11.139999999999999</v>
      </c>
    </row>
    <row r="3088" spans="1:10" s="406" customFormat="1" ht="15">
      <c r="A3088" s="398"/>
      <c r="B3088" s="955" t="s">
        <v>537</v>
      </c>
      <c r="C3088" s="955"/>
      <c r="D3088" s="955"/>
      <c r="E3088" s="389"/>
      <c r="F3088" s="409"/>
      <c r="G3088" s="410"/>
      <c r="H3088" s="249">
        <f>SUM(G3085:H3086)</f>
        <v>5.36</v>
      </c>
      <c r="I3088" s="407"/>
      <c r="J3088" s="408"/>
    </row>
    <row r="3089" spans="1:10">
      <c r="A3089" s="398"/>
      <c r="B3089" s="955" t="s">
        <v>1937</v>
      </c>
      <c r="C3089" s="955"/>
      <c r="D3089" s="955"/>
      <c r="E3089" s="389"/>
      <c r="F3089" s="409"/>
      <c r="G3089" s="410"/>
      <c r="H3089" s="249">
        <f>SUM(H3087:H3088)</f>
        <v>16.5</v>
      </c>
    </row>
    <row r="3090" spans="1:10">
      <c r="A3090" s="398"/>
      <c r="B3090" s="955" t="s">
        <v>538</v>
      </c>
      <c r="C3090" s="955"/>
      <c r="D3090" s="955"/>
      <c r="E3090" s="389"/>
      <c r="F3090" s="411" t="s">
        <v>539</v>
      </c>
      <c r="G3090" s="410"/>
      <c r="H3090" s="249">
        <f t="shared" ref="H3090" si="114">ROUND(H3089*F3090,2)</f>
        <v>4.12</v>
      </c>
    </row>
    <row r="3091" spans="1:10">
      <c r="A3091" s="398"/>
      <c r="B3091" s="956" t="s">
        <v>540</v>
      </c>
      <c r="C3091" s="956"/>
      <c r="D3091" s="956"/>
      <c r="E3091" s="740"/>
      <c r="F3091" s="768"/>
      <c r="G3091" s="769"/>
      <c r="H3091" s="770">
        <f>SUM(H3089:H3090)</f>
        <v>20.62</v>
      </c>
    </row>
    <row r="3092" spans="1:10" s="579" customFormat="1">
      <c r="A3092" s="601"/>
      <c r="B3092" s="780"/>
      <c r="C3092" s="780"/>
      <c r="D3092" s="780"/>
      <c r="E3092" s="740"/>
      <c r="F3092" s="768"/>
      <c r="G3092" s="769"/>
      <c r="H3092" s="770"/>
      <c r="I3092" s="400"/>
      <c r="J3092" s="404"/>
    </row>
    <row r="3093" spans="1:10" ht="25.9" customHeight="1">
      <c r="A3093" s="403" t="s">
        <v>2552</v>
      </c>
      <c r="B3093" s="961" t="s">
        <v>903</v>
      </c>
      <c r="C3093" s="961"/>
      <c r="D3093" s="961"/>
      <c r="E3093" s="961"/>
      <c r="F3093" s="961"/>
      <c r="G3093" s="402"/>
      <c r="H3093" s="403" t="s">
        <v>15</v>
      </c>
    </row>
    <row r="3094" spans="1:10">
      <c r="A3094" s="398"/>
      <c r="B3094" s="230" t="s">
        <v>904</v>
      </c>
      <c r="C3094" s="231" t="s">
        <v>15</v>
      </c>
      <c r="D3094" s="401">
        <v>1.5</v>
      </c>
      <c r="E3094" s="959">
        <f>Insumos!C912</f>
        <v>2.2749999999999999</v>
      </c>
      <c r="F3094" s="959"/>
      <c r="G3094" s="958">
        <f>ROUND(D3094*E3094,2)</f>
        <v>3.41</v>
      </c>
      <c r="H3094" s="958"/>
    </row>
    <row r="3095" spans="1:10">
      <c r="A3095" s="398"/>
      <c r="B3095" s="230" t="s">
        <v>747</v>
      </c>
      <c r="C3095" s="231" t="s">
        <v>14</v>
      </c>
      <c r="D3095" s="401">
        <v>7.4999999999999997E-3</v>
      </c>
      <c r="E3095" s="959">
        <f>Insumos!C913</f>
        <v>30.676100000000002</v>
      </c>
      <c r="F3095" s="959"/>
      <c r="G3095" s="958">
        <f>ROUND(D3095*E3095,2)</f>
        <v>0.23</v>
      </c>
      <c r="H3095" s="958"/>
    </row>
    <row r="3096" spans="1:10">
      <c r="A3096" s="398"/>
      <c r="B3096" s="230" t="s">
        <v>746</v>
      </c>
      <c r="C3096" s="231" t="s">
        <v>492</v>
      </c>
      <c r="D3096" s="401">
        <v>5.0000000000000001E-3</v>
      </c>
      <c r="E3096" s="959">
        <f>Insumos!C914</f>
        <v>25.898600000000002</v>
      </c>
      <c r="F3096" s="959"/>
      <c r="G3096" s="958">
        <f>ROUND(D3096*E3096,2)</f>
        <v>0.13</v>
      </c>
      <c r="H3096" s="958"/>
    </row>
    <row r="3097" spans="1:10">
      <c r="A3097" s="398"/>
      <c r="B3097" s="230" t="s">
        <v>516</v>
      </c>
      <c r="C3097" s="231" t="s">
        <v>112</v>
      </c>
      <c r="D3097" s="401">
        <v>0.6</v>
      </c>
      <c r="E3097" s="959">
        <f>Insumos!C915</f>
        <v>7.0798000000000005</v>
      </c>
      <c r="F3097" s="959"/>
      <c r="G3097" s="958">
        <f>ROUND(D3097*E3097,2)</f>
        <v>4.25</v>
      </c>
      <c r="H3097" s="958"/>
    </row>
    <row r="3098" spans="1:10">
      <c r="A3098" s="398"/>
      <c r="B3098" s="230" t="s">
        <v>517</v>
      </c>
      <c r="C3098" s="231" t="s">
        <v>112</v>
      </c>
      <c r="D3098" s="401">
        <v>0.6</v>
      </c>
      <c r="E3098" s="959">
        <f>Insumos!C916</f>
        <v>8.6722999999999999</v>
      </c>
      <c r="F3098" s="959"/>
      <c r="G3098" s="958">
        <f>ROUND(D3098*E3098,2)</f>
        <v>5.2</v>
      </c>
      <c r="H3098" s="958"/>
    </row>
    <row r="3099" spans="1:10" s="406" customFormat="1" ht="15">
      <c r="A3099" s="398"/>
      <c r="B3099" s="955" t="s">
        <v>536</v>
      </c>
      <c r="C3099" s="955"/>
      <c r="D3099" s="955"/>
      <c r="E3099" s="389"/>
      <c r="F3099" s="409"/>
      <c r="G3099" s="410"/>
      <c r="H3099" s="249">
        <f>SUM(G3094:H3096)</f>
        <v>3.77</v>
      </c>
      <c r="I3099" s="407"/>
      <c r="J3099" s="408"/>
    </row>
    <row r="3100" spans="1:10">
      <c r="A3100" s="398"/>
      <c r="B3100" s="955" t="s">
        <v>537</v>
      </c>
      <c r="C3100" s="955"/>
      <c r="D3100" s="955"/>
      <c r="E3100" s="389"/>
      <c r="F3100" s="409"/>
      <c r="G3100" s="410"/>
      <c r="H3100" s="249">
        <f>SUM(G3097:H3098)</f>
        <v>9.4499999999999993</v>
      </c>
    </row>
    <row r="3101" spans="1:10">
      <c r="A3101" s="398"/>
      <c r="B3101" s="955" t="s">
        <v>1937</v>
      </c>
      <c r="C3101" s="955"/>
      <c r="D3101" s="955"/>
      <c r="E3101" s="389"/>
      <c r="F3101" s="409"/>
      <c r="G3101" s="410"/>
      <c r="H3101" s="249">
        <f>SUM(H3099:H3100)</f>
        <v>13.219999999999999</v>
      </c>
    </row>
    <row r="3102" spans="1:10">
      <c r="A3102" s="398"/>
      <c r="B3102" s="955" t="s">
        <v>538</v>
      </c>
      <c r="C3102" s="955"/>
      <c r="D3102" s="955"/>
      <c r="E3102" s="389"/>
      <c r="F3102" s="411" t="s">
        <v>539</v>
      </c>
      <c r="G3102" s="410"/>
      <c r="H3102" s="249">
        <f t="shared" ref="H3102" si="115">ROUND(H3101*F3102,2)</f>
        <v>3.3</v>
      </c>
    </row>
    <row r="3103" spans="1:10">
      <c r="A3103" s="398"/>
      <c r="B3103" s="956" t="s">
        <v>540</v>
      </c>
      <c r="C3103" s="956"/>
      <c r="D3103" s="956"/>
      <c r="E3103" s="740"/>
      <c r="F3103" s="768"/>
      <c r="G3103" s="769"/>
      <c r="H3103" s="770">
        <f>SUM(H3101:H3102)</f>
        <v>16.52</v>
      </c>
    </row>
    <row r="3104" spans="1:10" s="579" customFormat="1">
      <c r="A3104" s="601"/>
      <c r="B3104" s="780"/>
      <c r="C3104" s="780"/>
      <c r="D3104" s="780"/>
      <c r="E3104" s="740"/>
      <c r="F3104" s="768"/>
      <c r="G3104" s="769"/>
      <c r="H3104" s="770"/>
      <c r="I3104" s="400"/>
      <c r="J3104" s="404"/>
    </row>
    <row r="3105" spans="1:10">
      <c r="A3105" s="403" t="s">
        <v>2553</v>
      </c>
      <c r="B3105" s="961" t="s">
        <v>905</v>
      </c>
      <c r="C3105" s="961"/>
      <c r="D3105" s="961"/>
      <c r="E3105" s="961"/>
      <c r="F3105" s="961"/>
      <c r="G3105" s="402"/>
      <c r="H3105" s="403" t="s">
        <v>15</v>
      </c>
    </row>
    <row r="3106" spans="1:10">
      <c r="A3106" s="398"/>
      <c r="B3106" s="230" t="s">
        <v>747</v>
      </c>
      <c r="C3106" s="231" t="s">
        <v>14</v>
      </c>
      <c r="D3106" s="401">
        <v>3.8E-3</v>
      </c>
      <c r="E3106" s="964">
        <f>Insumos!C917</f>
        <v>30.676100000000002</v>
      </c>
      <c r="F3106" s="964"/>
      <c r="G3106" s="958">
        <f>ROUND(D3106*E3106,2)</f>
        <v>0.12</v>
      </c>
      <c r="H3106" s="958"/>
    </row>
    <row r="3107" spans="1:10">
      <c r="A3107" s="398"/>
      <c r="B3107" s="230" t="s">
        <v>906</v>
      </c>
      <c r="C3107" s="231" t="s">
        <v>15</v>
      </c>
      <c r="D3107" s="401">
        <v>1.3906666666666663</v>
      </c>
      <c r="E3107" s="964">
        <f>Insumos!C918</f>
        <v>4.3134000000000006</v>
      </c>
      <c r="F3107" s="964"/>
      <c r="G3107" s="958">
        <f>ROUND(D3107*E3107,2)</f>
        <v>6</v>
      </c>
      <c r="H3107" s="958"/>
    </row>
    <row r="3108" spans="1:10">
      <c r="A3108" s="398"/>
      <c r="B3108" s="230" t="s">
        <v>746</v>
      </c>
      <c r="C3108" s="231" t="s">
        <v>492</v>
      </c>
      <c r="D3108" s="401">
        <v>2.8999999999999998E-3</v>
      </c>
      <c r="E3108" s="964">
        <f>Insumos!C919</f>
        <v>25.898600000000002</v>
      </c>
      <c r="F3108" s="964"/>
      <c r="G3108" s="958">
        <f>ROUND(D3108*E3108,2)</f>
        <v>0.08</v>
      </c>
      <c r="H3108" s="958"/>
    </row>
    <row r="3109" spans="1:10" s="406" customFormat="1" ht="15">
      <c r="A3109" s="398"/>
      <c r="B3109" s="230" t="s">
        <v>516</v>
      </c>
      <c r="C3109" s="231" t="s">
        <v>112</v>
      </c>
      <c r="D3109" s="401">
        <v>0.75</v>
      </c>
      <c r="E3109" s="964">
        <f>Insumos!C920</f>
        <v>7.0798000000000005</v>
      </c>
      <c r="F3109" s="964"/>
      <c r="G3109" s="958">
        <f>ROUND(D3109*E3109,2)</f>
        <v>5.31</v>
      </c>
      <c r="H3109" s="958"/>
      <c r="I3109" s="407"/>
      <c r="J3109" s="408"/>
    </row>
    <row r="3110" spans="1:10">
      <c r="A3110" s="398"/>
      <c r="B3110" s="230" t="s">
        <v>517</v>
      </c>
      <c r="C3110" s="231" t="s">
        <v>112</v>
      </c>
      <c r="D3110" s="401">
        <v>0.75</v>
      </c>
      <c r="E3110" s="964">
        <f>Insumos!C921</f>
        <v>8.6722999999999999</v>
      </c>
      <c r="F3110" s="964"/>
      <c r="G3110" s="958">
        <f>ROUND(D3110*E3110,2)</f>
        <v>6.5</v>
      </c>
      <c r="H3110" s="958"/>
    </row>
    <row r="3111" spans="1:10">
      <c r="A3111" s="398"/>
      <c r="B3111" s="955" t="s">
        <v>536</v>
      </c>
      <c r="C3111" s="955"/>
      <c r="D3111" s="955"/>
      <c r="E3111" s="389"/>
      <c r="F3111" s="409"/>
      <c r="G3111" s="410"/>
      <c r="H3111" s="249">
        <f>SUM(G3106:H3108)</f>
        <v>6.2</v>
      </c>
    </row>
    <row r="3112" spans="1:10">
      <c r="A3112" s="398"/>
      <c r="B3112" s="955" t="s">
        <v>537</v>
      </c>
      <c r="C3112" s="955"/>
      <c r="D3112" s="955"/>
      <c r="E3112" s="389"/>
      <c r="F3112" s="409"/>
      <c r="G3112" s="410"/>
      <c r="H3112" s="249">
        <f>SUM(G3109:H3110)</f>
        <v>11.809999999999999</v>
      </c>
    </row>
    <row r="3113" spans="1:10">
      <c r="A3113" s="398"/>
      <c r="B3113" s="955" t="s">
        <v>1937</v>
      </c>
      <c r="C3113" s="955"/>
      <c r="D3113" s="955"/>
      <c r="E3113" s="389"/>
      <c r="F3113" s="409"/>
      <c r="G3113" s="410"/>
      <c r="H3113" s="249">
        <f>SUM(H3111:H3112)</f>
        <v>18.009999999999998</v>
      </c>
    </row>
    <row r="3114" spans="1:10">
      <c r="A3114" s="398"/>
      <c r="B3114" s="955" t="s">
        <v>538</v>
      </c>
      <c r="C3114" s="955"/>
      <c r="D3114" s="955"/>
      <c r="E3114" s="389"/>
      <c r="F3114" s="411" t="s">
        <v>539</v>
      </c>
      <c r="G3114" s="410"/>
      <c r="H3114" s="249">
        <f t="shared" ref="H3114" si="116">ROUND(H3113*F3114,2)</f>
        <v>4.5</v>
      </c>
    </row>
    <row r="3115" spans="1:10">
      <c r="A3115" s="398"/>
      <c r="B3115" s="956" t="s">
        <v>540</v>
      </c>
      <c r="C3115" s="956"/>
      <c r="D3115" s="956"/>
      <c r="E3115" s="740"/>
      <c r="F3115" s="768"/>
      <c r="G3115" s="769"/>
      <c r="H3115" s="770">
        <f>SUM(H3113:H3114)</f>
        <v>22.509999999999998</v>
      </c>
    </row>
    <row r="3116" spans="1:10" s="579" customFormat="1">
      <c r="A3116" s="601"/>
      <c r="B3116" s="780"/>
      <c r="C3116" s="780"/>
      <c r="D3116" s="780"/>
      <c r="E3116" s="740"/>
      <c r="F3116" s="768"/>
      <c r="G3116" s="769"/>
      <c r="H3116" s="770"/>
      <c r="I3116" s="400"/>
      <c r="J3116" s="404"/>
    </row>
    <row r="3117" spans="1:10">
      <c r="A3117" s="403" t="s">
        <v>2554</v>
      </c>
      <c r="B3117" s="961" t="s">
        <v>907</v>
      </c>
      <c r="C3117" s="961"/>
      <c r="D3117" s="961"/>
      <c r="E3117" s="961"/>
      <c r="F3117" s="961"/>
      <c r="G3117" s="402"/>
      <c r="H3117" s="403" t="s">
        <v>15</v>
      </c>
    </row>
    <row r="3118" spans="1:10">
      <c r="A3118" s="398"/>
      <c r="B3118" s="230" t="s">
        <v>747</v>
      </c>
      <c r="C3118" s="231" t="s">
        <v>14</v>
      </c>
      <c r="D3118" s="401">
        <v>8.6999999999999994E-3</v>
      </c>
      <c r="E3118" s="964">
        <f>Insumos!C922</f>
        <v>30.676100000000002</v>
      </c>
      <c r="F3118" s="964"/>
      <c r="G3118" s="958">
        <f>ROUND(D3118*E3118,2)</f>
        <v>0.27</v>
      </c>
      <c r="H3118" s="958"/>
    </row>
    <row r="3119" spans="1:10" s="462" customFormat="1">
      <c r="A3119" s="398"/>
      <c r="B3119" s="230" t="s">
        <v>908</v>
      </c>
      <c r="C3119" s="231" t="s">
        <v>15</v>
      </c>
      <c r="D3119" s="401">
        <v>1.4</v>
      </c>
      <c r="E3119" s="964">
        <f>Insumos!C923</f>
        <v>4.8867000000000003</v>
      </c>
      <c r="F3119" s="964"/>
      <c r="G3119" s="958">
        <f>ROUND(D3119*E3119,2)</f>
        <v>6.84</v>
      </c>
      <c r="H3119" s="958"/>
      <c r="I3119" s="400"/>
      <c r="J3119" s="461"/>
    </row>
    <row r="3120" spans="1:10" s="406" customFormat="1" ht="15">
      <c r="A3120" s="398"/>
      <c r="B3120" s="230" t="s">
        <v>746</v>
      </c>
      <c r="C3120" s="231" t="s">
        <v>492</v>
      </c>
      <c r="D3120" s="401">
        <v>5.7000000000000002E-3</v>
      </c>
      <c r="E3120" s="964">
        <f>Insumos!C924</f>
        <v>25.898600000000002</v>
      </c>
      <c r="F3120" s="964"/>
      <c r="G3120" s="958">
        <f>ROUND(D3120*E3120,2)</f>
        <v>0.15</v>
      </c>
      <c r="H3120" s="958"/>
      <c r="I3120" s="407"/>
      <c r="J3120" s="408"/>
    </row>
    <row r="3121" spans="1:10">
      <c r="A3121" s="398"/>
      <c r="B3121" s="230" t="s">
        <v>516</v>
      </c>
      <c r="C3121" s="231" t="s">
        <v>112</v>
      </c>
      <c r="D3121" s="401">
        <v>1.0470000000000002</v>
      </c>
      <c r="E3121" s="964">
        <f>Insumos!C925</f>
        <v>7.0798000000000005</v>
      </c>
      <c r="F3121" s="964"/>
      <c r="G3121" s="958">
        <f>ROUND(D3121*E3121,2)</f>
        <v>7.41</v>
      </c>
      <c r="H3121" s="958"/>
    </row>
    <row r="3122" spans="1:10">
      <c r="A3122" s="398"/>
      <c r="B3122" s="230" t="s">
        <v>517</v>
      </c>
      <c r="C3122" s="231" t="s">
        <v>112</v>
      </c>
      <c r="D3122" s="401">
        <v>1.05</v>
      </c>
      <c r="E3122" s="964">
        <f>Insumos!C926</f>
        <v>8.6722999999999999</v>
      </c>
      <c r="F3122" s="964"/>
      <c r="G3122" s="958">
        <f>ROUND(D3122*E3122,2)</f>
        <v>9.11</v>
      </c>
      <c r="H3122" s="958"/>
    </row>
    <row r="3123" spans="1:10">
      <c r="A3123" s="398"/>
      <c r="B3123" s="955" t="s">
        <v>536</v>
      </c>
      <c r="C3123" s="955"/>
      <c r="D3123" s="955"/>
      <c r="E3123" s="389"/>
      <c r="F3123" s="409"/>
      <c r="G3123" s="410"/>
      <c r="H3123" s="249">
        <f>SUM(G3118:H3120)</f>
        <v>7.26</v>
      </c>
    </row>
    <row r="3124" spans="1:10">
      <c r="A3124" s="398"/>
      <c r="B3124" s="955" t="s">
        <v>537</v>
      </c>
      <c r="C3124" s="955"/>
      <c r="D3124" s="955"/>
      <c r="E3124" s="389"/>
      <c r="F3124" s="409"/>
      <c r="G3124" s="410"/>
      <c r="H3124" s="249">
        <f>SUM(G3121:H3122)</f>
        <v>16.52</v>
      </c>
    </row>
    <row r="3125" spans="1:10">
      <c r="A3125" s="398"/>
      <c r="B3125" s="955" t="s">
        <v>1937</v>
      </c>
      <c r="C3125" s="955"/>
      <c r="D3125" s="955"/>
      <c r="E3125" s="389"/>
      <c r="F3125" s="409"/>
      <c r="G3125" s="410"/>
      <c r="H3125" s="249">
        <f>SUM(H3123:H3124)</f>
        <v>23.78</v>
      </c>
    </row>
    <row r="3126" spans="1:10">
      <c r="A3126" s="398"/>
      <c r="B3126" s="955" t="s">
        <v>538</v>
      </c>
      <c r="C3126" s="955"/>
      <c r="D3126" s="955"/>
      <c r="E3126" s="389"/>
      <c r="F3126" s="411" t="s">
        <v>539</v>
      </c>
      <c r="G3126" s="410"/>
      <c r="H3126" s="249">
        <f t="shared" ref="H3126" si="117">ROUND(H3125*F3126,2)</f>
        <v>5.94</v>
      </c>
    </row>
    <row r="3127" spans="1:10">
      <c r="A3127" s="398"/>
      <c r="B3127" s="956" t="s">
        <v>540</v>
      </c>
      <c r="C3127" s="956"/>
      <c r="D3127" s="956"/>
      <c r="E3127" s="740"/>
      <c r="F3127" s="768"/>
      <c r="G3127" s="769"/>
      <c r="H3127" s="770">
        <f>SUM(H3125:H3126)</f>
        <v>29.720000000000002</v>
      </c>
    </row>
    <row r="3128" spans="1:10" s="579" customFormat="1">
      <c r="A3128" s="601"/>
      <c r="B3128" s="780"/>
      <c r="C3128" s="780"/>
      <c r="D3128" s="780"/>
      <c r="E3128" s="740"/>
      <c r="F3128" s="768"/>
      <c r="G3128" s="769"/>
      <c r="H3128" s="770"/>
      <c r="I3128" s="400"/>
      <c r="J3128" s="404"/>
    </row>
    <row r="3129" spans="1:10">
      <c r="A3129" s="403" t="s">
        <v>2555</v>
      </c>
      <c r="B3129" s="961" t="s">
        <v>909</v>
      </c>
      <c r="C3129" s="961"/>
      <c r="D3129" s="961"/>
      <c r="E3129" s="961"/>
      <c r="F3129" s="961"/>
      <c r="G3129" s="402"/>
      <c r="H3129" s="403" t="s">
        <v>15</v>
      </c>
    </row>
    <row r="3130" spans="1:10" s="406" customFormat="1" ht="15">
      <c r="A3130" s="398"/>
      <c r="B3130" s="230" t="s">
        <v>567</v>
      </c>
      <c r="C3130" s="231" t="s">
        <v>15</v>
      </c>
      <c r="D3130" s="401">
        <v>1.048</v>
      </c>
      <c r="E3130" s="959">
        <f>Insumos!C927</f>
        <v>6.5975000000000001</v>
      </c>
      <c r="F3130" s="959"/>
      <c r="G3130" s="958">
        <f>ROUND(D3130*E3130,2)</f>
        <v>6.91</v>
      </c>
      <c r="H3130" s="958"/>
      <c r="I3130" s="407"/>
      <c r="J3130" s="408"/>
    </row>
    <row r="3131" spans="1:10">
      <c r="A3131" s="398"/>
      <c r="B3131" s="230" t="s">
        <v>517</v>
      </c>
      <c r="C3131" s="231" t="s">
        <v>112</v>
      </c>
      <c r="D3131" s="401">
        <v>0.4</v>
      </c>
      <c r="E3131" s="959">
        <f>Insumos!C928</f>
        <v>8.6722999999999999</v>
      </c>
      <c r="F3131" s="959"/>
      <c r="G3131" s="958">
        <f>ROUND(D3131*E3131,2)</f>
        <v>3.47</v>
      </c>
      <c r="H3131" s="958"/>
    </row>
    <row r="3132" spans="1:10">
      <c r="A3132" s="398"/>
      <c r="B3132" s="230" t="s">
        <v>535</v>
      </c>
      <c r="C3132" s="231" t="s">
        <v>112</v>
      </c>
      <c r="D3132" s="401">
        <v>0.4</v>
      </c>
      <c r="E3132" s="959">
        <f>Insumos!C929</f>
        <v>6.4064000000000005</v>
      </c>
      <c r="F3132" s="959"/>
      <c r="G3132" s="958">
        <f>ROUND(D3132*E3132,2)</f>
        <v>2.56</v>
      </c>
      <c r="H3132" s="958"/>
    </row>
    <row r="3133" spans="1:10">
      <c r="A3133" s="398"/>
      <c r="B3133" s="955" t="s">
        <v>536</v>
      </c>
      <c r="C3133" s="955"/>
      <c r="D3133" s="955"/>
      <c r="E3133" s="389"/>
      <c r="F3133" s="409"/>
      <c r="G3133" s="410"/>
      <c r="H3133" s="249">
        <f>SUM(G3130)</f>
        <v>6.91</v>
      </c>
    </row>
    <row r="3134" spans="1:10">
      <c r="A3134" s="398"/>
      <c r="B3134" s="955" t="s">
        <v>537</v>
      </c>
      <c r="C3134" s="955"/>
      <c r="D3134" s="955"/>
      <c r="E3134" s="389"/>
      <c r="F3134" s="409"/>
      <c r="G3134" s="410"/>
      <c r="H3134" s="249">
        <f>SUM(G3131:H3132)</f>
        <v>6.03</v>
      </c>
    </row>
    <row r="3135" spans="1:10">
      <c r="A3135" s="398"/>
      <c r="B3135" s="955" t="s">
        <v>1937</v>
      </c>
      <c r="C3135" s="955"/>
      <c r="D3135" s="955"/>
      <c r="E3135" s="389"/>
      <c r="F3135" s="409"/>
      <c r="G3135" s="410"/>
      <c r="H3135" s="249">
        <f>SUM(H3133:H3134)</f>
        <v>12.940000000000001</v>
      </c>
    </row>
    <row r="3136" spans="1:10">
      <c r="A3136" s="398"/>
      <c r="B3136" s="955" t="s">
        <v>538</v>
      </c>
      <c r="C3136" s="955"/>
      <c r="D3136" s="955"/>
      <c r="E3136" s="389"/>
      <c r="F3136" s="411" t="s">
        <v>539</v>
      </c>
      <c r="G3136" s="410"/>
      <c r="H3136" s="249">
        <f t="shared" ref="H3136" si="118">ROUND(H3135*F3136,2)</f>
        <v>3.23</v>
      </c>
    </row>
    <row r="3137" spans="1:10">
      <c r="A3137" s="398"/>
      <c r="B3137" s="956" t="s">
        <v>540</v>
      </c>
      <c r="C3137" s="956"/>
      <c r="D3137" s="956"/>
      <c r="E3137" s="740"/>
      <c r="F3137" s="768"/>
      <c r="G3137" s="769"/>
      <c r="H3137" s="770">
        <f>SUM(H3135:H3136)</f>
        <v>16.170000000000002</v>
      </c>
    </row>
    <row r="3138" spans="1:10" s="579" customFormat="1">
      <c r="A3138" s="601"/>
      <c r="B3138" s="780"/>
      <c r="C3138" s="780"/>
      <c r="D3138" s="780"/>
      <c r="E3138" s="740"/>
      <c r="F3138" s="768"/>
      <c r="G3138" s="769"/>
      <c r="H3138" s="770"/>
      <c r="I3138" s="400"/>
      <c r="J3138" s="404"/>
    </row>
    <row r="3139" spans="1:10" s="167" customFormat="1">
      <c r="A3139" s="756" t="s">
        <v>2556</v>
      </c>
      <c r="B3139" s="975" t="s">
        <v>27</v>
      </c>
      <c r="C3139" s="975"/>
      <c r="D3139" s="975"/>
      <c r="E3139" s="975"/>
      <c r="F3139" s="975"/>
      <c r="G3139" s="766"/>
      <c r="H3139" s="767"/>
      <c r="I3139" s="326"/>
      <c r="J3139" s="344"/>
    </row>
    <row r="3140" spans="1:10" ht="32.1" customHeight="1">
      <c r="A3140" s="403" t="s">
        <v>2557</v>
      </c>
      <c r="B3140" s="961" t="s">
        <v>1345</v>
      </c>
      <c r="C3140" s="961"/>
      <c r="D3140" s="961"/>
      <c r="E3140" s="961"/>
      <c r="F3140" s="961"/>
      <c r="G3140" s="406"/>
      <c r="H3140" s="403" t="s">
        <v>14</v>
      </c>
    </row>
    <row r="3141" spans="1:10">
      <c r="A3141" s="398"/>
      <c r="B3141" s="230" t="s">
        <v>638</v>
      </c>
      <c r="C3141" s="231" t="s">
        <v>16</v>
      </c>
      <c r="D3141" s="401">
        <v>0.53482051282053078</v>
      </c>
      <c r="E3141" s="964">
        <f>Insumos!C422</f>
        <v>3.64</v>
      </c>
      <c r="F3141" s="964"/>
      <c r="G3141" s="958">
        <f t="shared" ref="G3141:G3146" si="119">ROUND(D3141*E3141,2)</f>
        <v>1.95</v>
      </c>
      <c r="H3141" s="958"/>
    </row>
    <row r="3142" spans="1:10">
      <c r="A3142" s="398"/>
      <c r="B3142" s="230" t="s">
        <v>700</v>
      </c>
      <c r="C3142" s="231" t="s">
        <v>16</v>
      </c>
      <c r="D3142" s="401">
        <v>0.1</v>
      </c>
      <c r="E3142" s="964">
        <f>Insumos!C423</f>
        <v>14.887600000000001</v>
      </c>
      <c r="F3142" s="964"/>
      <c r="G3142" s="958">
        <f t="shared" si="119"/>
        <v>1.49</v>
      </c>
      <c r="H3142" s="958"/>
    </row>
    <row r="3143" spans="1:10">
      <c r="A3143" s="398"/>
      <c r="B3143" s="230" t="s">
        <v>1346</v>
      </c>
      <c r="C3143" s="231" t="s">
        <v>14</v>
      </c>
      <c r="D3143" s="401">
        <v>1</v>
      </c>
      <c r="E3143" s="964">
        <f>Insumos!C424</f>
        <v>192.1283</v>
      </c>
      <c r="F3143" s="964"/>
      <c r="G3143" s="958">
        <f t="shared" si="119"/>
        <v>192.13</v>
      </c>
      <c r="H3143" s="958"/>
    </row>
    <row r="3144" spans="1:10" ht="22.5">
      <c r="A3144" s="398"/>
      <c r="B3144" s="230" t="s">
        <v>1347</v>
      </c>
      <c r="C3144" s="231" t="s">
        <v>14</v>
      </c>
      <c r="D3144" s="401">
        <v>2</v>
      </c>
      <c r="E3144" s="964">
        <f>Insumos!C425</f>
        <v>8.3993000000000002</v>
      </c>
      <c r="F3144" s="964"/>
      <c r="G3144" s="958">
        <f t="shared" si="119"/>
        <v>16.8</v>
      </c>
      <c r="H3144" s="958"/>
    </row>
    <row r="3145" spans="1:10" s="406" customFormat="1" ht="15">
      <c r="A3145" s="398"/>
      <c r="B3145" s="230" t="s">
        <v>701</v>
      </c>
      <c r="C3145" s="231" t="s">
        <v>112</v>
      </c>
      <c r="D3145" s="401">
        <v>2</v>
      </c>
      <c r="E3145" s="959">
        <f>Insumos!C426</f>
        <v>7.0798000000000005</v>
      </c>
      <c r="F3145" s="959"/>
      <c r="G3145" s="958">
        <f t="shared" si="119"/>
        <v>14.16</v>
      </c>
      <c r="H3145" s="958"/>
      <c r="I3145" s="407"/>
      <c r="J3145" s="408"/>
    </row>
    <row r="3146" spans="1:10">
      <c r="A3146" s="398"/>
      <c r="B3146" s="230" t="s">
        <v>517</v>
      </c>
      <c r="C3146" s="231" t="s">
        <v>112</v>
      </c>
      <c r="D3146" s="401">
        <v>2</v>
      </c>
      <c r="E3146" s="959">
        <f>Insumos!C427</f>
        <v>8.6722999999999999</v>
      </c>
      <c r="F3146" s="959"/>
      <c r="G3146" s="958">
        <f t="shared" si="119"/>
        <v>17.34</v>
      </c>
      <c r="H3146" s="958"/>
    </row>
    <row r="3147" spans="1:10">
      <c r="A3147" s="398"/>
      <c r="B3147" s="955" t="s">
        <v>536</v>
      </c>
      <c r="C3147" s="955"/>
      <c r="D3147" s="955"/>
      <c r="E3147" s="389"/>
      <c r="F3147" s="409"/>
      <c r="G3147" s="410"/>
      <c r="H3147" s="249">
        <f>SUM(G3141:H3144)</f>
        <v>212.37</v>
      </c>
    </row>
    <row r="3148" spans="1:10">
      <c r="A3148" s="398"/>
      <c r="B3148" s="955" t="s">
        <v>537</v>
      </c>
      <c r="C3148" s="955"/>
      <c r="D3148" s="955"/>
      <c r="E3148" s="389"/>
      <c r="F3148" s="409"/>
      <c r="G3148" s="410"/>
      <c r="H3148" s="249">
        <f>SUM(G3145:H3146)</f>
        <v>31.5</v>
      </c>
    </row>
    <row r="3149" spans="1:10">
      <c r="A3149" s="398"/>
      <c r="B3149" s="955" t="s">
        <v>1937</v>
      </c>
      <c r="C3149" s="955"/>
      <c r="D3149" s="955"/>
      <c r="E3149" s="389"/>
      <c r="F3149" s="409"/>
      <c r="G3149" s="410"/>
      <c r="H3149" s="249">
        <f>SUM(H3147:H3148)</f>
        <v>243.87</v>
      </c>
    </row>
    <row r="3150" spans="1:10">
      <c r="A3150" s="398"/>
      <c r="B3150" s="955" t="s">
        <v>538</v>
      </c>
      <c r="C3150" s="955"/>
      <c r="D3150" s="955"/>
      <c r="E3150" s="389"/>
      <c r="F3150" s="411" t="s">
        <v>539</v>
      </c>
      <c r="G3150" s="410"/>
      <c r="H3150" s="249">
        <f>ROUND(H3149*F3150,2)</f>
        <v>60.87</v>
      </c>
    </row>
    <row r="3151" spans="1:10" s="579" customFormat="1">
      <c r="A3151" s="601"/>
      <c r="B3151" s="738"/>
      <c r="C3151" s="738"/>
      <c r="D3151" s="738"/>
      <c r="E3151" s="737"/>
      <c r="F3151" s="607"/>
      <c r="G3151" s="606"/>
      <c r="H3151" s="597"/>
      <c r="I3151" s="400"/>
      <c r="J3151" s="404"/>
    </row>
    <row r="3152" spans="1:10">
      <c r="A3152" s="398"/>
      <c r="B3152" s="956" t="s">
        <v>540</v>
      </c>
      <c r="C3152" s="956"/>
      <c r="D3152" s="956"/>
      <c r="E3152" s="740"/>
      <c r="F3152" s="768"/>
      <c r="G3152" s="769"/>
      <c r="H3152" s="770">
        <f>SUM(H3149:H3150)</f>
        <v>304.74</v>
      </c>
    </row>
    <row r="3153" spans="1:10" ht="15">
      <c r="A3153" s="403" t="s">
        <v>2558</v>
      </c>
      <c r="B3153" s="961" t="s">
        <v>2108</v>
      </c>
      <c r="C3153" s="961"/>
      <c r="D3153" s="961"/>
      <c r="E3153" s="961"/>
      <c r="F3153" s="961"/>
      <c r="G3153" s="406"/>
      <c r="H3153" s="403" t="s">
        <v>14</v>
      </c>
    </row>
    <row r="3154" spans="1:10">
      <c r="A3154" s="398"/>
      <c r="B3154" s="230" t="s">
        <v>638</v>
      </c>
      <c r="C3154" s="231" t="s">
        <v>16</v>
      </c>
      <c r="D3154" s="401">
        <v>0.2</v>
      </c>
      <c r="E3154" s="964">
        <f>Insumos!C168</f>
        <v>3.64</v>
      </c>
      <c r="F3154" s="964"/>
      <c r="G3154" s="958">
        <f t="shared" ref="G3154:G3159" si="120">ROUND(D3154*E3154,2)</f>
        <v>0.73</v>
      </c>
      <c r="H3154" s="958"/>
    </row>
    <row r="3155" spans="1:10">
      <c r="A3155" s="398"/>
      <c r="B3155" s="230" t="s">
        <v>700</v>
      </c>
      <c r="C3155" s="231" t="s">
        <v>16</v>
      </c>
      <c r="D3155" s="401">
        <v>0.1</v>
      </c>
      <c r="E3155" s="964">
        <f>Insumos!C423</f>
        <v>14.887600000000001</v>
      </c>
      <c r="F3155" s="964"/>
      <c r="G3155" s="958">
        <f t="shared" si="120"/>
        <v>1.49</v>
      </c>
      <c r="H3155" s="958"/>
    </row>
    <row r="3156" spans="1:10">
      <c r="A3156" s="398"/>
      <c r="B3156" s="230" t="s">
        <v>2022</v>
      </c>
      <c r="C3156" s="231" t="s">
        <v>14</v>
      </c>
      <c r="D3156" s="401">
        <v>1</v>
      </c>
      <c r="E3156" s="964">
        <v>680</v>
      </c>
      <c r="F3156" s="964"/>
      <c r="G3156" s="958">
        <f t="shared" si="120"/>
        <v>680</v>
      </c>
      <c r="H3156" s="958"/>
    </row>
    <row r="3157" spans="1:10" ht="22.5">
      <c r="A3157" s="398"/>
      <c r="B3157" s="230" t="s">
        <v>1347</v>
      </c>
      <c r="C3157" s="231" t="s">
        <v>14</v>
      </c>
      <c r="D3157" s="401">
        <v>2</v>
      </c>
      <c r="E3157" s="964">
        <f>Insumos!C425</f>
        <v>8.3993000000000002</v>
      </c>
      <c r="F3157" s="964"/>
      <c r="G3157" s="958">
        <f t="shared" si="120"/>
        <v>16.8</v>
      </c>
      <c r="H3157" s="958"/>
    </row>
    <row r="3158" spans="1:10" s="406" customFormat="1" ht="15">
      <c r="A3158" s="398"/>
      <c r="B3158" s="230" t="s">
        <v>701</v>
      </c>
      <c r="C3158" s="231" t="s">
        <v>112</v>
      </c>
      <c r="D3158" s="401">
        <v>2.3759999999999999</v>
      </c>
      <c r="E3158" s="959">
        <f>Insumos!C426</f>
        <v>7.0798000000000005</v>
      </c>
      <c r="F3158" s="959"/>
      <c r="G3158" s="958">
        <f t="shared" si="120"/>
        <v>16.82</v>
      </c>
      <c r="H3158" s="958"/>
      <c r="I3158" s="407"/>
      <c r="J3158" s="408"/>
    </row>
    <row r="3159" spans="1:10">
      <c r="A3159" s="398"/>
      <c r="B3159" s="230" t="s">
        <v>517</v>
      </c>
      <c r="C3159" s="231" t="s">
        <v>112</v>
      </c>
      <c r="D3159" s="401">
        <v>2.3759999999999999</v>
      </c>
      <c r="E3159" s="959">
        <f>Insumos!C50</f>
        <v>8.6722999999999999</v>
      </c>
      <c r="F3159" s="959"/>
      <c r="G3159" s="958">
        <f t="shared" si="120"/>
        <v>20.61</v>
      </c>
      <c r="H3159" s="958"/>
    </row>
    <row r="3160" spans="1:10">
      <c r="A3160" s="398"/>
      <c r="B3160" s="955" t="s">
        <v>536</v>
      </c>
      <c r="C3160" s="955"/>
      <c r="D3160" s="955"/>
      <c r="E3160" s="397"/>
      <c r="F3160" s="409"/>
      <c r="G3160" s="410"/>
      <c r="H3160" s="249">
        <f>SUM(G3154:H3157)</f>
        <v>699.02</v>
      </c>
    </row>
    <row r="3161" spans="1:10">
      <c r="A3161" s="398"/>
      <c r="B3161" s="955" t="s">
        <v>537</v>
      </c>
      <c r="C3161" s="955"/>
      <c r="D3161" s="955"/>
      <c r="E3161" s="397"/>
      <c r="F3161" s="409"/>
      <c r="G3161" s="410"/>
      <c r="H3161" s="249">
        <f>SUM(G3158:H3159)</f>
        <v>37.43</v>
      </c>
    </row>
    <row r="3162" spans="1:10">
      <c r="A3162" s="398"/>
      <c r="B3162" s="955" t="s">
        <v>1937</v>
      </c>
      <c r="C3162" s="955"/>
      <c r="D3162" s="955"/>
      <c r="E3162" s="397"/>
      <c r="F3162" s="409"/>
      <c r="G3162" s="410"/>
      <c r="H3162" s="249">
        <f>SUM(H3160:H3161)</f>
        <v>736.44999999999993</v>
      </c>
    </row>
    <row r="3163" spans="1:10">
      <c r="A3163" s="398"/>
      <c r="B3163" s="955" t="s">
        <v>538</v>
      </c>
      <c r="C3163" s="955"/>
      <c r="D3163" s="955"/>
      <c r="E3163" s="397"/>
      <c r="F3163" s="411" t="s">
        <v>539</v>
      </c>
      <c r="G3163" s="410"/>
      <c r="H3163" s="249">
        <f>ROUND(H3162*F3163,2)</f>
        <v>183.82</v>
      </c>
    </row>
    <row r="3164" spans="1:10">
      <c r="A3164" s="398"/>
      <c r="B3164" s="956" t="s">
        <v>540</v>
      </c>
      <c r="C3164" s="956"/>
      <c r="D3164" s="956"/>
      <c r="E3164" s="740"/>
      <c r="F3164" s="768"/>
      <c r="G3164" s="769"/>
      <c r="H3164" s="770">
        <f>SUM(H3162:H3163)</f>
        <v>920.27</v>
      </c>
    </row>
    <row r="3165" spans="1:10" s="579" customFormat="1">
      <c r="A3165" s="601"/>
      <c r="B3165" s="780"/>
      <c r="C3165" s="780"/>
      <c r="D3165" s="780"/>
      <c r="E3165" s="740"/>
      <c r="F3165" s="768"/>
      <c r="G3165" s="769"/>
      <c r="H3165" s="770"/>
      <c r="I3165" s="400"/>
      <c r="J3165" s="404"/>
    </row>
    <row r="3166" spans="1:10" ht="32.1" customHeight="1">
      <c r="A3166" s="403" t="s">
        <v>2559</v>
      </c>
      <c r="B3166" s="961" t="s">
        <v>1348</v>
      </c>
      <c r="C3166" s="961"/>
      <c r="D3166" s="961"/>
      <c r="E3166" s="961"/>
      <c r="F3166" s="961"/>
      <c r="G3166" s="402"/>
      <c r="H3166" s="403" t="s">
        <v>14</v>
      </c>
    </row>
    <row r="3167" spans="1:10">
      <c r="A3167" s="398"/>
      <c r="B3167" s="230" t="s">
        <v>1349</v>
      </c>
      <c r="C3167" s="231" t="s">
        <v>88</v>
      </c>
      <c r="D3167" s="401">
        <v>1</v>
      </c>
      <c r="E3167" s="959">
        <f>Insumos!C428</f>
        <v>15.333500000000003</v>
      </c>
      <c r="F3167" s="959"/>
      <c r="G3167" s="958">
        <f>ROUND(D3167*E3167,2)</f>
        <v>15.33</v>
      </c>
      <c r="H3167" s="958"/>
    </row>
    <row r="3168" spans="1:10">
      <c r="A3168" s="398"/>
      <c r="B3168" s="230" t="s">
        <v>535</v>
      </c>
      <c r="C3168" s="231" t="s">
        <v>112</v>
      </c>
      <c r="D3168" s="401">
        <v>0.03</v>
      </c>
      <c r="E3168" s="959">
        <f>Insumos!C429</f>
        <v>6.4064000000000005</v>
      </c>
      <c r="F3168" s="959"/>
      <c r="G3168" s="958">
        <f>ROUND(D3168*E3168,2)</f>
        <v>0.19</v>
      </c>
      <c r="H3168" s="958"/>
    </row>
    <row r="3169" spans="1:10" s="406" customFormat="1" ht="15">
      <c r="A3169" s="398"/>
      <c r="B3169" s="955" t="s">
        <v>536</v>
      </c>
      <c r="C3169" s="955"/>
      <c r="D3169" s="955"/>
      <c r="E3169" s="389"/>
      <c r="F3169" s="409"/>
      <c r="G3169" s="410"/>
      <c r="H3169" s="249">
        <f>SUM(G3167:H3167)</f>
        <v>15.33</v>
      </c>
      <c r="I3169" s="407"/>
      <c r="J3169" s="408"/>
    </row>
    <row r="3170" spans="1:10">
      <c r="A3170" s="398"/>
      <c r="B3170" s="955" t="s">
        <v>537</v>
      </c>
      <c r="C3170" s="955"/>
      <c r="D3170" s="955"/>
      <c r="E3170" s="389"/>
      <c r="F3170" s="409"/>
      <c r="G3170" s="410"/>
      <c r="H3170" s="249">
        <f>SUM(G3168:H3168)</f>
        <v>0.19</v>
      </c>
    </row>
    <row r="3171" spans="1:10">
      <c r="A3171" s="398"/>
      <c r="B3171" s="955" t="s">
        <v>1937</v>
      </c>
      <c r="C3171" s="955"/>
      <c r="D3171" s="955"/>
      <c r="E3171" s="389"/>
      <c r="F3171" s="409"/>
      <c r="G3171" s="410"/>
      <c r="H3171" s="249">
        <f>SUM(H3169:H3170)</f>
        <v>15.52</v>
      </c>
    </row>
    <row r="3172" spans="1:10">
      <c r="A3172" s="398"/>
      <c r="B3172" s="955" t="s">
        <v>538</v>
      </c>
      <c r="C3172" s="955"/>
      <c r="D3172" s="955"/>
      <c r="E3172" s="389"/>
      <c r="F3172" s="411" t="s">
        <v>539</v>
      </c>
      <c r="G3172" s="410"/>
      <c r="H3172" s="249">
        <f>H3171*0.2496</f>
        <v>3.8737919999999999</v>
      </c>
    </row>
    <row r="3173" spans="1:10">
      <c r="A3173" s="398"/>
      <c r="B3173" s="956" t="s">
        <v>540</v>
      </c>
      <c r="C3173" s="956"/>
      <c r="D3173" s="956"/>
      <c r="E3173" s="740"/>
      <c r="F3173" s="768"/>
      <c r="G3173" s="769"/>
      <c r="H3173" s="770">
        <f>SUM(H3171:H3172)</f>
        <v>19.393791999999998</v>
      </c>
    </row>
    <row r="3174" spans="1:10" s="579" customFormat="1">
      <c r="A3174" s="601"/>
      <c r="B3174" s="780"/>
      <c r="C3174" s="780"/>
      <c r="D3174" s="780"/>
      <c r="E3174" s="740"/>
      <c r="F3174" s="768"/>
      <c r="G3174" s="769"/>
      <c r="H3174" s="770"/>
      <c r="I3174" s="400"/>
      <c r="J3174" s="404"/>
    </row>
    <row r="3175" spans="1:10">
      <c r="A3175" s="403" t="s">
        <v>2560</v>
      </c>
      <c r="B3175" s="961" t="s">
        <v>1350</v>
      </c>
      <c r="C3175" s="961"/>
      <c r="D3175" s="961"/>
      <c r="E3175" s="961"/>
      <c r="F3175" s="961"/>
      <c r="G3175" s="402"/>
      <c r="H3175" s="403" t="s">
        <v>14</v>
      </c>
    </row>
    <row r="3176" spans="1:10">
      <c r="A3176" s="398"/>
      <c r="B3176" s="230" t="s">
        <v>562</v>
      </c>
      <c r="C3176" s="231" t="s">
        <v>14</v>
      </c>
      <c r="D3176" s="401">
        <v>0.28000000000000003</v>
      </c>
      <c r="E3176" s="959">
        <f>Insumos!C430</f>
        <v>2.0202000000000004</v>
      </c>
      <c r="F3176" s="959"/>
      <c r="G3176" s="958">
        <f>ROUND(D3176*E3176,2)</f>
        <v>0.56999999999999995</v>
      </c>
      <c r="H3176" s="958"/>
    </row>
    <row r="3177" spans="1:10">
      <c r="A3177" s="398"/>
      <c r="B3177" s="230" t="s">
        <v>713</v>
      </c>
      <c r="C3177" s="231" t="s">
        <v>14</v>
      </c>
      <c r="D3177" s="401">
        <v>1</v>
      </c>
      <c r="E3177" s="959">
        <f>Insumos!C431</f>
        <v>3.1395000000000004</v>
      </c>
      <c r="F3177" s="959"/>
      <c r="G3177" s="958">
        <f>ROUND(D3177*E3177,2)</f>
        <v>3.14</v>
      </c>
      <c r="H3177" s="958"/>
    </row>
    <row r="3178" spans="1:10">
      <c r="A3178" s="398"/>
      <c r="B3178" s="230" t="s">
        <v>704</v>
      </c>
      <c r="C3178" s="231" t="s">
        <v>112</v>
      </c>
      <c r="D3178" s="401">
        <v>0.15</v>
      </c>
      <c r="E3178" s="959">
        <f>Insumos!C432</f>
        <v>6.4792000000000005</v>
      </c>
      <c r="F3178" s="959"/>
      <c r="G3178" s="958">
        <f>ROUND(D3178*E3178,2)</f>
        <v>0.97</v>
      </c>
      <c r="H3178" s="958"/>
    </row>
    <row r="3179" spans="1:10">
      <c r="A3179" s="398"/>
      <c r="B3179" s="230" t="s">
        <v>517</v>
      </c>
      <c r="C3179" s="231" t="s">
        <v>112</v>
      </c>
      <c r="D3179" s="401">
        <v>0.15</v>
      </c>
      <c r="E3179" s="959">
        <f>Insumos!C433</f>
        <v>8.6722999999999999</v>
      </c>
      <c r="F3179" s="959"/>
      <c r="G3179" s="958">
        <f>ROUND(D3179*E3179,2)</f>
        <v>1.3</v>
      </c>
      <c r="H3179" s="958"/>
    </row>
    <row r="3180" spans="1:10">
      <c r="A3180" s="398"/>
      <c r="B3180" s="955" t="s">
        <v>536</v>
      </c>
      <c r="C3180" s="955"/>
      <c r="D3180" s="955"/>
      <c r="E3180" s="389"/>
      <c r="F3180" s="409"/>
      <c r="G3180" s="410"/>
      <c r="H3180" s="249">
        <f>SUM(G3176:H3177)</f>
        <v>3.71</v>
      </c>
    </row>
    <row r="3181" spans="1:10">
      <c r="A3181" s="398"/>
      <c r="B3181" s="955" t="s">
        <v>537</v>
      </c>
      <c r="C3181" s="955"/>
      <c r="D3181" s="955"/>
      <c r="E3181" s="389"/>
      <c r="F3181" s="409"/>
      <c r="G3181" s="410"/>
      <c r="H3181" s="249">
        <f>SUM(G3178:H3179)</f>
        <v>2.27</v>
      </c>
    </row>
    <row r="3182" spans="1:10">
      <c r="A3182" s="398"/>
      <c r="B3182" s="955" t="s">
        <v>1937</v>
      </c>
      <c r="C3182" s="955"/>
      <c r="D3182" s="955"/>
      <c r="E3182" s="389"/>
      <c r="F3182" s="409"/>
      <c r="G3182" s="410"/>
      <c r="H3182" s="249">
        <f>SUM(H3180:H3181)</f>
        <v>5.98</v>
      </c>
    </row>
    <row r="3183" spans="1:10">
      <c r="A3183" s="398"/>
      <c r="B3183" s="955" t="s">
        <v>538</v>
      </c>
      <c r="C3183" s="955"/>
      <c r="D3183" s="955"/>
      <c r="E3183" s="389"/>
      <c r="F3183" s="411" t="s">
        <v>539</v>
      </c>
      <c r="G3183" s="410"/>
      <c r="H3183" s="249">
        <f>ROUND(H3182*F3183,2)</f>
        <v>1.49</v>
      </c>
    </row>
    <row r="3184" spans="1:10">
      <c r="A3184" s="398"/>
      <c r="B3184" s="956" t="s">
        <v>540</v>
      </c>
      <c r="C3184" s="956"/>
      <c r="D3184" s="956"/>
      <c r="E3184" s="740"/>
      <c r="F3184" s="768"/>
      <c r="G3184" s="769"/>
      <c r="H3184" s="770">
        <f>SUM(H3182:H3183)</f>
        <v>7.4700000000000006</v>
      </c>
    </row>
    <row r="3185" spans="1:10" s="579" customFormat="1">
      <c r="A3185" s="601"/>
      <c r="B3185" s="780"/>
      <c r="C3185" s="780"/>
      <c r="D3185" s="780"/>
      <c r="E3185" s="740"/>
      <c r="F3185" s="768"/>
      <c r="G3185" s="769"/>
      <c r="H3185" s="770"/>
      <c r="I3185" s="400"/>
      <c r="J3185" s="404"/>
    </row>
    <row r="3186" spans="1:10" ht="14.25" customHeight="1">
      <c r="A3186" s="403" t="s">
        <v>2561</v>
      </c>
      <c r="B3186" s="961" t="s">
        <v>705</v>
      </c>
      <c r="C3186" s="961"/>
      <c r="D3186" s="961"/>
      <c r="E3186" s="961"/>
      <c r="F3186" s="961"/>
      <c r="G3186" s="402"/>
      <c r="H3186" s="403" t="s">
        <v>14</v>
      </c>
    </row>
    <row r="3187" spans="1:10">
      <c r="A3187" s="398"/>
      <c r="B3187" s="230" t="s">
        <v>706</v>
      </c>
      <c r="C3187" s="231" t="s">
        <v>14</v>
      </c>
      <c r="D3187" s="401">
        <v>1</v>
      </c>
      <c r="E3187" s="959">
        <f>Insumos!C434</f>
        <v>21.557900000000004</v>
      </c>
      <c r="F3187" s="959"/>
      <c r="G3187" s="958">
        <f>ROUND(D3187*E3187,2)</f>
        <v>21.56</v>
      </c>
      <c r="H3187" s="958"/>
    </row>
    <row r="3188" spans="1:10">
      <c r="A3188" s="398"/>
      <c r="B3188" s="230" t="s">
        <v>576</v>
      </c>
      <c r="C3188" s="231" t="s">
        <v>112</v>
      </c>
      <c r="D3188" s="401">
        <v>0.05</v>
      </c>
      <c r="E3188" s="959">
        <f>Insumos!C435</f>
        <v>8.6722999999999999</v>
      </c>
      <c r="F3188" s="959"/>
      <c r="G3188" s="958">
        <f>ROUND(D3188*E3188,2)</f>
        <v>0.43</v>
      </c>
      <c r="H3188" s="958"/>
    </row>
    <row r="3189" spans="1:10">
      <c r="A3189" s="398"/>
      <c r="B3189" s="230" t="s">
        <v>535</v>
      </c>
      <c r="C3189" s="231" t="s">
        <v>112</v>
      </c>
      <c r="D3189" s="401">
        <v>0.05</v>
      </c>
      <c r="E3189" s="959">
        <f>Insumos!C436</f>
        <v>6.4064000000000005</v>
      </c>
      <c r="F3189" s="959"/>
      <c r="G3189" s="958">
        <f>ROUND(D3189*E3189,2)</f>
        <v>0.32</v>
      </c>
      <c r="H3189" s="958"/>
    </row>
    <row r="3190" spans="1:10">
      <c r="A3190" s="398"/>
      <c r="B3190" s="955" t="s">
        <v>536</v>
      </c>
      <c r="C3190" s="955"/>
      <c r="D3190" s="955"/>
      <c r="E3190" s="389"/>
      <c r="F3190" s="409"/>
      <c r="G3190" s="410"/>
      <c r="H3190" s="249">
        <f>SUM(G3187)</f>
        <v>21.56</v>
      </c>
    </row>
    <row r="3191" spans="1:10">
      <c r="A3191" s="398"/>
      <c r="B3191" s="955" t="s">
        <v>537</v>
      </c>
      <c r="C3191" s="955"/>
      <c r="D3191" s="955"/>
      <c r="E3191" s="389"/>
      <c r="F3191" s="409"/>
      <c r="G3191" s="410"/>
      <c r="H3191" s="249">
        <f>SUM(G3188:H3189)</f>
        <v>0.75</v>
      </c>
    </row>
    <row r="3192" spans="1:10" s="406" customFormat="1" ht="15">
      <c r="A3192" s="398"/>
      <c r="B3192" s="955" t="s">
        <v>1937</v>
      </c>
      <c r="C3192" s="955"/>
      <c r="D3192" s="955"/>
      <c r="E3192" s="389"/>
      <c r="F3192" s="409"/>
      <c r="G3192" s="410"/>
      <c r="H3192" s="249">
        <f>SUM(H3190:H3191)</f>
        <v>22.31</v>
      </c>
      <c r="I3192" s="407"/>
      <c r="J3192" s="408"/>
    </row>
    <row r="3193" spans="1:10">
      <c r="A3193" s="398"/>
      <c r="B3193" s="955" t="s">
        <v>538</v>
      </c>
      <c r="C3193" s="955"/>
      <c r="D3193" s="955"/>
      <c r="E3193" s="389"/>
      <c r="F3193" s="411" t="s">
        <v>539</v>
      </c>
      <c r="G3193" s="410"/>
      <c r="H3193" s="249">
        <f>ROUND(H3192*F3193,2)</f>
        <v>5.57</v>
      </c>
    </row>
    <row r="3194" spans="1:10">
      <c r="A3194" s="398"/>
      <c r="B3194" s="956" t="s">
        <v>540</v>
      </c>
      <c r="C3194" s="956"/>
      <c r="D3194" s="956"/>
      <c r="E3194" s="740"/>
      <c r="F3194" s="768"/>
      <c r="G3194" s="769"/>
      <c r="H3194" s="770">
        <f>SUM(H3192:H3193)</f>
        <v>27.88</v>
      </c>
    </row>
    <row r="3195" spans="1:10" s="579" customFormat="1">
      <c r="A3195" s="601"/>
      <c r="B3195" s="780"/>
      <c r="C3195" s="780"/>
      <c r="D3195" s="780"/>
      <c r="E3195" s="740"/>
      <c r="F3195" s="768"/>
      <c r="G3195" s="769"/>
      <c r="H3195" s="770"/>
      <c r="I3195" s="400"/>
      <c r="J3195" s="404"/>
    </row>
    <row r="3196" spans="1:10">
      <c r="A3196" s="403" t="s">
        <v>2562</v>
      </c>
      <c r="B3196" s="961" t="s">
        <v>2109</v>
      </c>
      <c r="C3196" s="961"/>
      <c r="D3196" s="961"/>
      <c r="E3196" s="961"/>
      <c r="F3196" s="961"/>
      <c r="G3196" s="402"/>
      <c r="H3196" s="403" t="s">
        <v>14</v>
      </c>
    </row>
    <row r="3197" spans="1:10">
      <c r="A3197" s="398"/>
      <c r="B3197" s="230" t="s">
        <v>711</v>
      </c>
      <c r="C3197" s="231" t="s">
        <v>14</v>
      </c>
      <c r="D3197" s="401">
        <v>1</v>
      </c>
      <c r="E3197" s="959">
        <v>21.34</v>
      </c>
      <c r="F3197" s="959"/>
      <c r="G3197" s="958">
        <f>ROUND(D3197*E3197,2)</f>
        <v>21.34</v>
      </c>
      <c r="H3197" s="958"/>
    </row>
    <row r="3198" spans="1:10">
      <c r="A3198" s="398"/>
      <c r="B3198" s="230" t="s">
        <v>2110</v>
      </c>
      <c r="C3198" s="231" t="s">
        <v>14</v>
      </c>
      <c r="D3198" s="401">
        <v>1</v>
      </c>
      <c r="E3198" s="959">
        <v>338</v>
      </c>
      <c r="F3198" s="959"/>
      <c r="G3198" s="958">
        <f>ROUND(D3198*E3198,2)</f>
        <v>338</v>
      </c>
      <c r="H3198" s="958"/>
    </row>
    <row r="3199" spans="1:10">
      <c r="A3199" s="398"/>
      <c r="B3199" s="230" t="s">
        <v>704</v>
      </c>
      <c r="C3199" s="231" t="s">
        <v>112</v>
      </c>
      <c r="D3199" s="401">
        <v>1</v>
      </c>
      <c r="E3199" s="959">
        <v>7.12</v>
      </c>
      <c r="F3199" s="959"/>
      <c r="G3199" s="958">
        <f>ROUND(D3199*E3199,2)</f>
        <v>7.12</v>
      </c>
      <c r="H3199" s="958"/>
    </row>
    <row r="3200" spans="1:10">
      <c r="A3200" s="398"/>
      <c r="B3200" s="230" t="s">
        <v>517</v>
      </c>
      <c r="C3200" s="231" t="s">
        <v>112</v>
      </c>
      <c r="D3200" s="401">
        <v>1</v>
      </c>
      <c r="E3200" s="959">
        <v>8.17</v>
      </c>
      <c r="F3200" s="959"/>
      <c r="G3200" s="958">
        <f>ROUND(D3200*E3200,2)</f>
        <v>8.17</v>
      </c>
      <c r="H3200" s="958"/>
    </row>
    <row r="3201" spans="1:10">
      <c r="A3201" s="398"/>
      <c r="B3201" s="955" t="s">
        <v>536</v>
      </c>
      <c r="C3201" s="955"/>
      <c r="D3201" s="955"/>
      <c r="E3201" s="389"/>
      <c r="F3201" s="409"/>
      <c r="G3201" s="410"/>
      <c r="H3201" s="249">
        <f>ROUND(SUM(G3197:H3198),2)</f>
        <v>359.34</v>
      </c>
    </row>
    <row r="3202" spans="1:10">
      <c r="A3202" s="398"/>
      <c r="B3202" s="955" t="s">
        <v>537</v>
      </c>
      <c r="C3202" s="955"/>
      <c r="D3202" s="955"/>
      <c r="E3202" s="389"/>
      <c r="F3202" s="409"/>
      <c r="G3202" s="410"/>
      <c r="H3202" s="249">
        <f>SUM(G3199:H3200)</f>
        <v>15.29</v>
      </c>
    </row>
    <row r="3203" spans="1:10" s="406" customFormat="1" ht="15">
      <c r="A3203" s="398"/>
      <c r="B3203" s="955" t="s">
        <v>1937</v>
      </c>
      <c r="C3203" s="955"/>
      <c r="D3203" s="955"/>
      <c r="E3203" s="389"/>
      <c r="F3203" s="409"/>
      <c r="G3203" s="410"/>
      <c r="H3203" s="249">
        <f>SUM(H3201:H3202)</f>
        <v>374.63</v>
      </c>
      <c r="I3203" s="407"/>
      <c r="J3203" s="408"/>
    </row>
    <row r="3204" spans="1:10">
      <c r="A3204" s="398"/>
      <c r="B3204" s="955" t="s">
        <v>538</v>
      </c>
      <c r="C3204" s="955"/>
      <c r="D3204" s="955"/>
      <c r="E3204" s="389"/>
      <c r="F3204" s="411" t="s">
        <v>539</v>
      </c>
      <c r="G3204" s="410"/>
      <c r="H3204" s="249">
        <f>ROUND(H3203*F3204,2)</f>
        <v>93.51</v>
      </c>
    </row>
    <row r="3205" spans="1:10">
      <c r="A3205" s="398"/>
      <c r="B3205" s="956" t="s">
        <v>540</v>
      </c>
      <c r="C3205" s="956"/>
      <c r="D3205" s="956"/>
      <c r="E3205" s="740"/>
      <c r="F3205" s="768"/>
      <c r="G3205" s="769"/>
      <c r="H3205" s="770">
        <f>SUM(H3203:H3204)</f>
        <v>468.14</v>
      </c>
    </row>
    <row r="3206" spans="1:10" s="579" customFormat="1">
      <c r="A3206" s="601"/>
      <c r="B3206" s="780"/>
      <c r="C3206" s="780"/>
      <c r="D3206" s="780"/>
      <c r="E3206" s="740"/>
      <c r="F3206" s="768"/>
      <c r="G3206" s="769"/>
      <c r="H3206" s="770"/>
      <c r="I3206" s="400"/>
      <c r="J3206" s="404"/>
    </row>
    <row r="3207" spans="1:10" ht="27" customHeight="1">
      <c r="A3207" s="403" t="s">
        <v>2563</v>
      </c>
      <c r="B3207" s="961" t="s">
        <v>710</v>
      </c>
      <c r="C3207" s="961"/>
      <c r="D3207" s="961"/>
      <c r="E3207" s="961"/>
      <c r="F3207" s="961"/>
      <c r="G3207" s="402"/>
      <c r="H3207" s="403" t="s">
        <v>14</v>
      </c>
    </row>
    <row r="3208" spans="1:10">
      <c r="A3208" s="398"/>
      <c r="B3208" s="230" t="s">
        <v>711</v>
      </c>
      <c r="C3208" s="231" t="s">
        <v>14</v>
      </c>
      <c r="D3208" s="401">
        <v>1</v>
      </c>
      <c r="E3208" s="959">
        <f>Insumos!C442</f>
        <v>19.392099999999999</v>
      </c>
      <c r="F3208" s="959"/>
      <c r="G3208" s="958">
        <f>ROUND(D3208*E3208,2)</f>
        <v>19.39</v>
      </c>
      <c r="H3208" s="958"/>
    </row>
    <row r="3209" spans="1:10" ht="22.5">
      <c r="A3209" s="398"/>
      <c r="B3209" s="230" t="s">
        <v>1112</v>
      </c>
      <c r="C3209" s="231" t="s">
        <v>14</v>
      </c>
      <c r="D3209" s="401">
        <v>1</v>
      </c>
      <c r="E3209" s="959">
        <f>Insumos!C443</f>
        <v>45.554600000000001</v>
      </c>
      <c r="F3209" s="959"/>
      <c r="G3209" s="958">
        <f>ROUND(D3209*E3209,2)</f>
        <v>45.55</v>
      </c>
      <c r="H3209" s="958"/>
    </row>
    <row r="3210" spans="1:10">
      <c r="A3210" s="398"/>
      <c r="B3210" s="230" t="s">
        <v>704</v>
      </c>
      <c r="C3210" s="231" t="s">
        <v>112</v>
      </c>
      <c r="D3210" s="401">
        <v>1</v>
      </c>
      <c r="E3210" s="959">
        <f>Insumos!C444</f>
        <v>6.4792000000000005</v>
      </c>
      <c r="F3210" s="959"/>
      <c r="G3210" s="958">
        <f>ROUND(D3210*E3210,2)</f>
        <v>6.48</v>
      </c>
      <c r="H3210" s="958"/>
    </row>
    <row r="3211" spans="1:10">
      <c r="A3211" s="398"/>
      <c r="B3211" s="230" t="s">
        <v>517</v>
      </c>
      <c r="C3211" s="231" t="s">
        <v>112</v>
      </c>
      <c r="D3211" s="401">
        <v>1</v>
      </c>
      <c r="E3211" s="959">
        <f>Insumos!C445</f>
        <v>8.6722999999999999</v>
      </c>
      <c r="F3211" s="959"/>
      <c r="G3211" s="958">
        <f>ROUND(D3211*E3211,2)</f>
        <v>8.67</v>
      </c>
      <c r="H3211" s="958"/>
    </row>
    <row r="3212" spans="1:10">
      <c r="A3212" s="398"/>
      <c r="B3212" s="955" t="s">
        <v>536</v>
      </c>
      <c r="C3212" s="955"/>
      <c r="D3212" s="955"/>
      <c r="E3212" s="389"/>
      <c r="F3212" s="409"/>
      <c r="G3212" s="410"/>
      <c r="H3212" s="249">
        <f>SUM(G3208:H3209)</f>
        <v>64.94</v>
      </c>
    </row>
    <row r="3213" spans="1:10">
      <c r="A3213" s="398"/>
      <c r="B3213" s="955" t="s">
        <v>537</v>
      </c>
      <c r="C3213" s="955"/>
      <c r="D3213" s="955"/>
      <c r="E3213" s="389"/>
      <c r="F3213" s="409"/>
      <c r="G3213" s="410"/>
      <c r="H3213" s="249">
        <f>SUM(G3210:H3211)</f>
        <v>15.15</v>
      </c>
    </row>
    <row r="3214" spans="1:10" s="406" customFormat="1" ht="15">
      <c r="A3214" s="398"/>
      <c r="B3214" s="955" t="s">
        <v>1937</v>
      </c>
      <c r="C3214" s="955"/>
      <c r="D3214" s="955"/>
      <c r="E3214" s="389"/>
      <c r="F3214" s="409"/>
      <c r="G3214" s="410"/>
      <c r="H3214" s="249">
        <f>SUM(H3212:H3213)</f>
        <v>80.09</v>
      </c>
      <c r="I3214" s="407"/>
      <c r="J3214" s="408"/>
    </row>
    <row r="3215" spans="1:10">
      <c r="A3215" s="398"/>
      <c r="B3215" s="955" t="s">
        <v>538</v>
      </c>
      <c r="C3215" s="955"/>
      <c r="D3215" s="955"/>
      <c r="E3215" s="389"/>
      <c r="F3215" s="411" t="s">
        <v>539</v>
      </c>
      <c r="G3215" s="410"/>
      <c r="H3215" s="249">
        <f>ROUND(H3214*F3215,2)</f>
        <v>19.989999999999998</v>
      </c>
    </row>
    <row r="3216" spans="1:10">
      <c r="A3216" s="398"/>
      <c r="B3216" s="956" t="s">
        <v>540</v>
      </c>
      <c r="C3216" s="956"/>
      <c r="D3216" s="956"/>
      <c r="E3216" s="740"/>
      <c r="F3216" s="768"/>
      <c r="G3216" s="769"/>
      <c r="H3216" s="770">
        <f>SUM(H3214:H3215)</f>
        <v>100.08</v>
      </c>
    </row>
    <row r="3217" spans="1:10" s="579" customFormat="1">
      <c r="A3217" s="601"/>
      <c r="B3217" s="780"/>
      <c r="C3217" s="780"/>
      <c r="D3217" s="780"/>
      <c r="E3217" s="740"/>
      <c r="F3217" s="768"/>
      <c r="G3217" s="769"/>
      <c r="H3217" s="770"/>
      <c r="I3217" s="400"/>
      <c r="J3217" s="404"/>
    </row>
    <row r="3218" spans="1:10">
      <c r="A3218" s="403" t="s">
        <v>2564</v>
      </c>
      <c r="B3218" s="961" t="s">
        <v>712</v>
      </c>
      <c r="C3218" s="961"/>
      <c r="D3218" s="961"/>
      <c r="E3218" s="961"/>
      <c r="F3218" s="961"/>
      <c r="G3218" s="402"/>
      <c r="H3218" s="403" t="s">
        <v>14</v>
      </c>
    </row>
    <row r="3219" spans="1:10">
      <c r="A3219" s="398"/>
      <c r="B3219" s="230" t="s">
        <v>711</v>
      </c>
      <c r="C3219" s="231" t="s">
        <v>14</v>
      </c>
      <c r="D3219" s="401">
        <v>0.28000000000000003</v>
      </c>
      <c r="E3219" s="959">
        <f>Insumos!C446</f>
        <v>19.392099999999999</v>
      </c>
      <c r="F3219" s="959"/>
      <c r="G3219" s="958">
        <f>ROUND(D3219*E3219,2)</f>
        <v>5.43</v>
      </c>
      <c r="H3219" s="958"/>
    </row>
    <row r="3220" spans="1:10">
      <c r="A3220" s="398"/>
      <c r="B3220" s="230" t="s">
        <v>713</v>
      </c>
      <c r="C3220" s="231" t="s">
        <v>14</v>
      </c>
      <c r="D3220" s="401">
        <v>1</v>
      </c>
      <c r="E3220" s="959">
        <f>Insumos!C447</f>
        <v>3.1395000000000004</v>
      </c>
      <c r="F3220" s="959"/>
      <c r="G3220" s="958">
        <f>ROUND(D3220*E3220,2)</f>
        <v>3.14</v>
      </c>
      <c r="H3220" s="958"/>
    </row>
    <row r="3221" spans="1:10">
      <c r="A3221" s="398"/>
      <c r="B3221" s="230" t="s">
        <v>704</v>
      </c>
      <c r="C3221" s="231" t="s">
        <v>112</v>
      </c>
      <c r="D3221" s="401">
        <v>0.15</v>
      </c>
      <c r="E3221" s="959">
        <f>Insumos!C448</f>
        <v>6.4792000000000005</v>
      </c>
      <c r="F3221" s="959"/>
      <c r="G3221" s="958">
        <f>ROUND(D3221*E3221,2)</f>
        <v>0.97</v>
      </c>
      <c r="H3221" s="958"/>
    </row>
    <row r="3222" spans="1:10">
      <c r="A3222" s="398"/>
      <c r="B3222" s="230" t="s">
        <v>517</v>
      </c>
      <c r="C3222" s="231" t="s">
        <v>112</v>
      </c>
      <c r="D3222" s="401">
        <v>0.15</v>
      </c>
      <c r="E3222" s="959">
        <f>Insumos!C449</f>
        <v>8.6722999999999999</v>
      </c>
      <c r="F3222" s="959"/>
      <c r="G3222" s="958">
        <f>ROUND(D3222*E3222,2)</f>
        <v>1.3</v>
      </c>
      <c r="H3222" s="958"/>
    </row>
    <row r="3223" spans="1:10">
      <c r="A3223" s="398"/>
      <c r="B3223" s="955" t="s">
        <v>536</v>
      </c>
      <c r="C3223" s="955"/>
      <c r="D3223" s="955"/>
      <c r="E3223" s="389"/>
      <c r="F3223" s="409"/>
      <c r="G3223" s="410"/>
      <c r="H3223" s="249">
        <f>SUM(G3219:H3220)</f>
        <v>8.57</v>
      </c>
    </row>
    <row r="3224" spans="1:10">
      <c r="A3224" s="398"/>
      <c r="B3224" s="955" t="s">
        <v>537</v>
      </c>
      <c r="C3224" s="955"/>
      <c r="D3224" s="955"/>
      <c r="E3224" s="389"/>
      <c r="F3224" s="409"/>
      <c r="G3224" s="410"/>
      <c r="H3224" s="249">
        <f>SUM(G3221:H3222)</f>
        <v>2.27</v>
      </c>
    </row>
    <row r="3225" spans="1:10" s="406" customFormat="1" ht="15">
      <c r="A3225" s="398"/>
      <c r="B3225" s="955" t="s">
        <v>1937</v>
      </c>
      <c r="C3225" s="955"/>
      <c r="D3225" s="955"/>
      <c r="E3225" s="389"/>
      <c r="F3225" s="409"/>
      <c r="G3225" s="410"/>
      <c r="H3225" s="249">
        <f>SUM(H3223:H3224)</f>
        <v>10.84</v>
      </c>
      <c r="I3225" s="407"/>
      <c r="J3225" s="408"/>
    </row>
    <row r="3226" spans="1:10">
      <c r="A3226" s="398"/>
      <c r="B3226" s="955" t="s">
        <v>538</v>
      </c>
      <c r="C3226" s="955"/>
      <c r="D3226" s="955"/>
      <c r="E3226" s="389"/>
      <c r="F3226" s="411" t="s">
        <v>539</v>
      </c>
      <c r="G3226" s="410"/>
      <c r="H3226" s="249">
        <f>ROUND(H3225*F3226,2)</f>
        <v>2.71</v>
      </c>
    </row>
    <row r="3227" spans="1:10">
      <c r="A3227" s="398"/>
      <c r="B3227" s="956" t="s">
        <v>540</v>
      </c>
      <c r="C3227" s="956"/>
      <c r="D3227" s="956"/>
      <c r="E3227" s="740"/>
      <c r="F3227" s="768"/>
      <c r="G3227" s="769"/>
      <c r="H3227" s="770">
        <f>SUM(H3225:H3226)</f>
        <v>13.55</v>
      </c>
    </row>
    <row r="3228" spans="1:10" s="579" customFormat="1">
      <c r="A3228" s="601"/>
      <c r="B3228" s="780"/>
      <c r="C3228" s="780"/>
      <c r="D3228" s="780"/>
      <c r="E3228" s="740"/>
      <c r="F3228" s="768"/>
      <c r="G3228" s="769"/>
      <c r="H3228" s="770"/>
      <c r="I3228" s="400"/>
      <c r="J3228" s="404"/>
    </row>
    <row r="3229" spans="1:10">
      <c r="A3229" s="403" t="s">
        <v>2565</v>
      </c>
      <c r="B3229" s="961" t="s">
        <v>714</v>
      </c>
      <c r="C3229" s="961"/>
      <c r="D3229" s="961"/>
      <c r="E3229" s="961"/>
      <c r="F3229" s="961"/>
      <c r="G3229" s="402"/>
      <c r="H3229" s="403" t="s">
        <v>14</v>
      </c>
    </row>
    <row r="3230" spans="1:10">
      <c r="A3230" s="398"/>
      <c r="B3230" s="230" t="s">
        <v>715</v>
      </c>
      <c r="C3230" s="231" t="s">
        <v>14</v>
      </c>
      <c r="D3230" s="401">
        <v>0.99988505747126433</v>
      </c>
      <c r="E3230" s="959">
        <f>Insumos!C450</f>
        <v>78.94250000000001</v>
      </c>
      <c r="F3230" s="959"/>
      <c r="G3230" s="958">
        <f>ROUND(D3230*E3230,2)</f>
        <v>78.930000000000007</v>
      </c>
      <c r="H3230" s="958"/>
    </row>
    <row r="3231" spans="1:10">
      <c r="A3231" s="398"/>
      <c r="B3231" s="230" t="s">
        <v>716</v>
      </c>
      <c r="C3231" s="231" t="s">
        <v>14</v>
      </c>
      <c r="D3231" s="401">
        <v>0.01</v>
      </c>
      <c r="E3231" s="959">
        <f>Insumos!C451</f>
        <v>1.365</v>
      </c>
      <c r="F3231" s="959"/>
      <c r="G3231" s="958">
        <f>ROUND(D3231*E3231,2)</f>
        <v>0.01</v>
      </c>
      <c r="H3231" s="958"/>
    </row>
    <row r="3232" spans="1:10">
      <c r="A3232" s="398"/>
      <c r="B3232" s="230" t="s">
        <v>516</v>
      </c>
      <c r="C3232" s="231" t="s">
        <v>112</v>
      </c>
      <c r="D3232" s="401">
        <v>0.25</v>
      </c>
      <c r="E3232" s="959">
        <f>Insumos!C452</f>
        <v>7.0798000000000005</v>
      </c>
      <c r="F3232" s="959"/>
      <c r="G3232" s="958">
        <f>ROUND(D3232*E3232,2)</f>
        <v>1.77</v>
      </c>
      <c r="H3232" s="958"/>
    </row>
    <row r="3233" spans="1:10">
      <c r="A3233" s="398"/>
      <c r="B3233" s="230" t="s">
        <v>517</v>
      </c>
      <c r="C3233" s="231" t="s">
        <v>112</v>
      </c>
      <c r="D3233" s="401">
        <v>0.25</v>
      </c>
      <c r="E3233" s="959">
        <f>Insumos!C453</f>
        <v>8.6722999999999999</v>
      </c>
      <c r="F3233" s="959"/>
      <c r="G3233" s="958">
        <f>ROUND(D3233*E3233,2)</f>
        <v>2.17</v>
      </c>
      <c r="H3233" s="958"/>
    </row>
    <row r="3234" spans="1:10">
      <c r="A3234" s="398"/>
      <c r="B3234" s="955" t="s">
        <v>536</v>
      </c>
      <c r="C3234" s="955"/>
      <c r="D3234" s="955"/>
      <c r="E3234" s="389"/>
      <c r="F3234" s="409"/>
      <c r="G3234" s="410"/>
      <c r="H3234" s="249">
        <f>SUM(G3230:H3231)</f>
        <v>78.940000000000012</v>
      </c>
    </row>
    <row r="3235" spans="1:10">
      <c r="A3235" s="398"/>
      <c r="B3235" s="955" t="s">
        <v>537</v>
      </c>
      <c r="C3235" s="955"/>
      <c r="D3235" s="955"/>
      <c r="E3235" s="389"/>
      <c r="F3235" s="409"/>
      <c r="G3235" s="410"/>
      <c r="H3235" s="249">
        <f>SUM(G3232:H3233)</f>
        <v>3.94</v>
      </c>
    </row>
    <row r="3236" spans="1:10" s="406" customFormat="1" ht="15">
      <c r="A3236" s="398"/>
      <c r="B3236" s="955" t="s">
        <v>1937</v>
      </c>
      <c r="C3236" s="955"/>
      <c r="D3236" s="955"/>
      <c r="E3236" s="389"/>
      <c r="F3236" s="409"/>
      <c r="G3236" s="410"/>
      <c r="H3236" s="249">
        <f>SUM(H3234:H3235)</f>
        <v>82.88000000000001</v>
      </c>
      <c r="I3236" s="407"/>
      <c r="J3236" s="408"/>
    </row>
    <row r="3237" spans="1:10">
      <c r="A3237" s="398"/>
      <c r="B3237" s="955" t="s">
        <v>538</v>
      </c>
      <c r="C3237" s="955"/>
      <c r="D3237" s="955"/>
      <c r="E3237" s="389"/>
      <c r="F3237" s="411" t="s">
        <v>539</v>
      </c>
      <c r="G3237" s="410"/>
      <c r="H3237" s="249">
        <f>ROUND(H3236*F3237,2)</f>
        <v>20.69</v>
      </c>
    </row>
    <row r="3238" spans="1:10">
      <c r="A3238" s="398"/>
      <c r="B3238" s="956" t="s">
        <v>540</v>
      </c>
      <c r="C3238" s="956"/>
      <c r="D3238" s="956"/>
      <c r="E3238" s="740"/>
      <c r="F3238" s="768"/>
      <c r="G3238" s="769"/>
      <c r="H3238" s="770">
        <f>SUM(H3236:H3237)</f>
        <v>103.57000000000001</v>
      </c>
    </row>
    <row r="3239" spans="1:10" s="579" customFormat="1">
      <c r="A3239" s="601"/>
      <c r="B3239" s="780"/>
      <c r="C3239" s="780"/>
      <c r="D3239" s="780"/>
      <c r="E3239" s="740"/>
      <c r="F3239" s="768"/>
      <c r="G3239" s="769"/>
      <c r="H3239" s="770"/>
      <c r="I3239" s="400"/>
      <c r="J3239" s="404"/>
    </row>
    <row r="3240" spans="1:10" ht="27" customHeight="1">
      <c r="A3240" s="403" t="s">
        <v>2566</v>
      </c>
      <c r="B3240" s="961" t="s">
        <v>717</v>
      </c>
      <c r="C3240" s="961"/>
      <c r="D3240" s="961"/>
      <c r="E3240" s="961"/>
      <c r="F3240" s="961"/>
      <c r="G3240" s="402"/>
      <c r="H3240" s="403" t="s">
        <v>14</v>
      </c>
    </row>
    <row r="3241" spans="1:10">
      <c r="A3241" s="398"/>
      <c r="B3241" s="230" t="s">
        <v>716</v>
      </c>
      <c r="C3241" s="231" t="s">
        <v>14</v>
      </c>
      <c r="D3241" s="436">
        <v>4.9000000000000002E-2</v>
      </c>
      <c r="E3241" s="959">
        <v>1.5</v>
      </c>
      <c r="F3241" s="959"/>
      <c r="G3241" s="958">
        <f>ROUND(D3241*E3241,2)</f>
        <v>7.0000000000000007E-2</v>
      </c>
      <c r="H3241" s="958"/>
    </row>
    <row r="3242" spans="1:10">
      <c r="A3242" s="398"/>
      <c r="B3242" s="230" t="s">
        <v>2111</v>
      </c>
      <c r="C3242" s="231" t="s">
        <v>492</v>
      </c>
      <c r="D3242" s="436">
        <v>1</v>
      </c>
      <c r="E3242" s="959">
        <v>195</v>
      </c>
      <c r="F3242" s="959"/>
      <c r="G3242" s="958">
        <f>ROUND(D3242*E3242,2)</f>
        <v>195</v>
      </c>
      <c r="H3242" s="958"/>
    </row>
    <row r="3243" spans="1:10">
      <c r="A3243" s="398"/>
      <c r="B3243" s="230" t="s">
        <v>516</v>
      </c>
      <c r="C3243" s="231" t="s">
        <v>112</v>
      </c>
      <c r="D3243" s="436">
        <v>0.57799999999999996</v>
      </c>
      <c r="E3243" s="969">
        <f>Insumos!A:A+Insumos!C452</f>
        <v>7.0798000000000005</v>
      </c>
      <c r="F3243" s="969"/>
      <c r="G3243" s="958">
        <f>ROUND(D3243*E3243,2)</f>
        <v>4.09</v>
      </c>
      <c r="H3243" s="958"/>
    </row>
    <row r="3244" spans="1:10">
      <c r="A3244" s="398"/>
      <c r="B3244" s="230" t="s">
        <v>517</v>
      </c>
      <c r="C3244" s="231" t="s">
        <v>112</v>
      </c>
      <c r="D3244" s="436">
        <v>0.57799999999999996</v>
      </c>
      <c r="E3244" s="959">
        <f>Insumos!C427</f>
        <v>8.6722999999999999</v>
      </c>
      <c r="F3244" s="959"/>
      <c r="G3244" s="958">
        <f>ROUND(D3244*E3244,2)</f>
        <v>5.01</v>
      </c>
      <c r="H3244" s="958"/>
    </row>
    <row r="3245" spans="1:10">
      <c r="A3245" s="398"/>
      <c r="B3245" s="955" t="s">
        <v>536</v>
      </c>
      <c r="C3245" s="955"/>
      <c r="D3245" s="955"/>
      <c r="E3245" s="389"/>
      <c r="F3245" s="409"/>
      <c r="G3245" s="410"/>
      <c r="H3245" s="249">
        <f>SUM(G3241:H3242)</f>
        <v>195.07</v>
      </c>
    </row>
    <row r="3246" spans="1:10">
      <c r="A3246" s="398"/>
      <c r="B3246" s="955" t="s">
        <v>537</v>
      </c>
      <c r="C3246" s="955"/>
      <c r="D3246" s="955"/>
      <c r="E3246" s="389"/>
      <c r="F3246" s="409"/>
      <c r="G3246" s="410"/>
      <c r="H3246" s="249">
        <f>SUM(G3243:H3244)</f>
        <v>9.1</v>
      </c>
    </row>
    <row r="3247" spans="1:10" s="406" customFormat="1" ht="15">
      <c r="A3247" s="398"/>
      <c r="B3247" s="955" t="s">
        <v>1937</v>
      </c>
      <c r="C3247" s="955"/>
      <c r="D3247" s="955"/>
      <c r="E3247" s="389"/>
      <c r="F3247" s="409"/>
      <c r="G3247" s="410"/>
      <c r="H3247" s="249">
        <f>SUM(H3245:H3246)</f>
        <v>204.17</v>
      </c>
      <c r="I3247" s="407"/>
      <c r="J3247" s="408"/>
    </row>
    <row r="3248" spans="1:10">
      <c r="A3248" s="398"/>
      <c r="B3248" s="955" t="s">
        <v>538</v>
      </c>
      <c r="C3248" s="955"/>
      <c r="D3248" s="955"/>
      <c r="E3248" s="389"/>
      <c r="F3248" s="411" t="s">
        <v>539</v>
      </c>
      <c r="G3248" s="410"/>
      <c r="H3248" s="249">
        <f>ROUND(H3247*F3248,2)</f>
        <v>50.96</v>
      </c>
    </row>
    <row r="3249" spans="1:10">
      <c r="A3249" s="398"/>
      <c r="B3249" s="956" t="s">
        <v>540</v>
      </c>
      <c r="C3249" s="956"/>
      <c r="D3249" s="956"/>
      <c r="E3249" s="740"/>
      <c r="F3249" s="768"/>
      <c r="G3249" s="769"/>
      <c r="H3249" s="770">
        <f>SUM(H3247:H3248)</f>
        <v>255.13</v>
      </c>
    </row>
    <row r="3250" spans="1:10" s="579" customFormat="1">
      <c r="A3250" s="601"/>
      <c r="B3250" s="780"/>
      <c r="C3250" s="780"/>
      <c r="D3250" s="780"/>
      <c r="E3250" s="740"/>
      <c r="F3250" s="768"/>
      <c r="G3250" s="769"/>
      <c r="H3250" s="770"/>
      <c r="I3250" s="400"/>
      <c r="J3250" s="404"/>
    </row>
    <row r="3251" spans="1:10">
      <c r="A3251" s="403" t="s">
        <v>2567</v>
      </c>
      <c r="B3251" s="961" t="s">
        <v>2024</v>
      </c>
      <c r="C3251" s="961"/>
      <c r="D3251" s="961"/>
      <c r="E3251" s="961"/>
      <c r="F3251" s="961"/>
      <c r="G3251" s="463"/>
      <c r="H3251" s="403" t="s">
        <v>14</v>
      </c>
    </row>
    <row r="3252" spans="1:10">
      <c r="A3252" s="398"/>
      <c r="B3252" s="230" t="s">
        <v>716</v>
      </c>
      <c r="C3252" s="231" t="s">
        <v>14</v>
      </c>
      <c r="D3252" s="436">
        <v>4.9000000000000002E-2</v>
      </c>
      <c r="E3252" s="959">
        <v>1.5</v>
      </c>
      <c r="F3252" s="959"/>
      <c r="G3252" s="958">
        <f>ROUND(D3252*E3252,2)</f>
        <v>7.0000000000000007E-2</v>
      </c>
      <c r="H3252" s="958"/>
    </row>
    <row r="3253" spans="1:10" ht="22.5">
      <c r="A3253" s="398"/>
      <c r="B3253" s="230" t="s">
        <v>718</v>
      </c>
      <c r="C3253" s="231" t="s">
        <v>492</v>
      </c>
      <c r="D3253" s="436">
        <v>1</v>
      </c>
      <c r="E3253" s="959">
        <v>183.43</v>
      </c>
      <c r="F3253" s="959"/>
      <c r="G3253" s="958">
        <f>ROUND(D3253*E3253,2)</f>
        <v>183.43</v>
      </c>
      <c r="H3253" s="958"/>
    </row>
    <row r="3254" spans="1:10">
      <c r="A3254" s="398"/>
      <c r="B3254" s="230" t="s">
        <v>516</v>
      </c>
      <c r="C3254" s="231" t="s">
        <v>112</v>
      </c>
      <c r="D3254" s="436">
        <v>0.5</v>
      </c>
      <c r="E3254" s="969">
        <f>Insumos!A:A+Insumos!C462</f>
        <v>6.4064000000000005</v>
      </c>
      <c r="F3254" s="969"/>
      <c r="G3254" s="958">
        <f>ROUND(D3254*E3254,2)</f>
        <v>3.2</v>
      </c>
      <c r="H3254" s="958"/>
    </row>
    <row r="3255" spans="1:10">
      <c r="A3255" s="398"/>
      <c r="B3255" s="230" t="s">
        <v>517</v>
      </c>
      <c r="C3255" s="231" t="s">
        <v>112</v>
      </c>
      <c r="D3255" s="436">
        <v>0.56514545454543996</v>
      </c>
      <c r="E3255" s="959">
        <f>Insumos!C437</f>
        <v>2.0202000000000004</v>
      </c>
      <c r="F3255" s="959"/>
      <c r="G3255" s="958">
        <f>ROUND(D3255*E3255,2)</f>
        <v>1.1399999999999999</v>
      </c>
      <c r="H3255" s="958"/>
    </row>
    <row r="3256" spans="1:10">
      <c r="A3256" s="398"/>
      <c r="B3256" s="955" t="s">
        <v>536</v>
      </c>
      <c r="C3256" s="955"/>
      <c r="D3256" s="955"/>
      <c r="E3256" s="397"/>
      <c r="F3256" s="409"/>
      <c r="G3256" s="410"/>
      <c r="H3256" s="249">
        <f>SUM(G3252:H3253)</f>
        <v>183.5</v>
      </c>
    </row>
    <row r="3257" spans="1:10">
      <c r="A3257" s="398"/>
      <c r="B3257" s="955" t="s">
        <v>537</v>
      </c>
      <c r="C3257" s="955"/>
      <c r="D3257" s="955"/>
      <c r="E3257" s="397"/>
      <c r="F3257" s="409"/>
      <c r="G3257" s="410"/>
      <c r="H3257" s="249">
        <f>SUM(G3254:H3255)</f>
        <v>4.34</v>
      </c>
    </row>
    <row r="3258" spans="1:10" s="406" customFormat="1" ht="15">
      <c r="A3258" s="398"/>
      <c r="B3258" s="955" t="s">
        <v>1937</v>
      </c>
      <c r="C3258" s="955"/>
      <c r="D3258" s="955"/>
      <c r="E3258" s="397"/>
      <c r="F3258" s="409"/>
      <c r="G3258" s="410"/>
      <c r="H3258" s="249">
        <f>SUM(H3256:H3257)</f>
        <v>187.84</v>
      </c>
      <c r="I3258" s="407"/>
      <c r="J3258" s="408"/>
    </row>
    <row r="3259" spans="1:10">
      <c r="A3259" s="398"/>
      <c r="B3259" s="955" t="s">
        <v>538</v>
      </c>
      <c r="C3259" s="955"/>
      <c r="D3259" s="955"/>
      <c r="E3259" s="397"/>
      <c r="F3259" s="411" t="s">
        <v>539</v>
      </c>
      <c r="G3259" s="410"/>
      <c r="H3259" s="249">
        <f>ROUND(H3258*F3259,2)</f>
        <v>46.88</v>
      </c>
    </row>
    <row r="3260" spans="1:10">
      <c r="A3260" s="398"/>
      <c r="B3260" s="956" t="s">
        <v>540</v>
      </c>
      <c r="C3260" s="956"/>
      <c r="D3260" s="956"/>
      <c r="E3260" s="740"/>
      <c r="F3260" s="768"/>
      <c r="G3260" s="769"/>
      <c r="H3260" s="770">
        <f>SUM(H3258:H3259)</f>
        <v>234.72</v>
      </c>
    </row>
    <row r="3261" spans="1:10" s="579" customFormat="1">
      <c r="A3261" s="601"/>
      <c r="B3261" s="780"/>
      <c r="C3261" s="780"/>
      <c r="D3261" s="780"/>
      <c r="E3261" s="740"/>
      <c r="F3261" s="768"/>
      <c r="G3261" s="769"/>
      <c r="H3261" s="770"/>
      <c r="I3261" s="400"/>
      <c r="J3261" s="404"/>
    </row>
    <row r="3262" spans="1:10">
      <c r="A3262" s="403" t="s">
        <v>2568</v>
      </c>
      <c r="B3262" s="961" t="s">
        <v>719</v>
      </c>
      <c r="C3262" s="961"/>
      <c r="D3262" s="961"/>
      <c r="E3262" s="961"/>
      <c r="F3262" s="961"/>
      <c r="G3262" s="402"/>
      <c r="H3262" s="403" t="s">
        <v>14</v>
      </c>
    </row>
    <row r="3263" spans="1:10">
      <c r="A3263" s="398"/>
      <c r="B3263" s="230" t="s">
        <v>720</v>
      </c>
      <c r="C3263" s="231" t="s">
        <v>14</v>
      </c>
      <c r="D3263" s="401">
        <v>1</v>
      </c>
      <c r="E3263" s="964">
        <f>Insumos!C454</f>
        <v>4.5955000000000004</v>
      </c>
      <c r="F3263" s="964"/>
      <c r="G3263" s="958">
        <f>ROUND(D3263*E3263,2)</f>
        <v>4.5999999999999996</v>
      </c>
      <c r="H3263" s="958"/>
    </row>
    <row r="3264" spans="1:10">
      <c r="A3264" s="398"/>
      <c r="B3264" s="230" t="s">
        <v>716</v>
      </c>
      <c r="C3264" s="231" t="s">
        <v>14</v>
      </c>
      <c r="D3264" s="401">
        <v>2.5000000000000001E-2</v>
      </c>
      <c r="E3264" s="964">
        <f>Insumos!C455</f>
        <v>1.365</v>
      </c>
      <c r="F3264" s="964"/>
      <c r="G3264" s="958">
        <f>ROUND(D3264*E3264,2)</f>
        <v>0.03</v>
      </c>
      <c r="H3264" s="958"/>
    </row>
    <row r="3265" spans="1:10">
      <c r="A3265" s="398"/>
      <c r="B3265" s="230" t="s">
        <v>516</v>
      </c>
      <c r="C3265" s="231" t="s">
        <v>112</v>
      </c>
      <c r="D3265" s="401">
        <v>0.25</v>
      </c>
      <c r="E3265" s="959">
        <f>Insumos!C456</f>
        <v>7.0798000000000005</v>
      </c>
      <c r="F3265" s="959"/>
      <c r="G3265" s="958">
        <f>ROUND(D3265*E3265,2)</f>
        <v>1.77</v>
      </c>
      <c r="H3265" s="958"/>
    </row>
    <row r="3266" spans="1:10">
      <c r="A3266" s="398"/>
      <c r="B3266" s="230" t="s">
        <v>517</v>
      </c>
      <c r="C3266" s="231" t="s">
        <v>112</v>
      </c>
      <c r="D3266" s="401">
        <v>0.25</v>
      </c>
      <c r="E3266" s="959">
        <f>Insumos!C457</f>
        <v>8.6722999999999999</v>
      </c>
      <c r="F3266" s="959"/>
      <c r="G3266" s="958">
        <f>ROUND(D3266*E3266,2)</f>
        <v>2.17</v>
      </c>
      <c r="H3266" s="958"/>
    </row>
    <row r="3267" spans="1:10">
      <c r="A3267" s="398"/>
      <c r="B3267" s="955" t="s">
        <v>536</v>
      </c>
      <c r="C3267" s="955"/>
      <c r="D3267" s="955"/>
      <c r="E3267" s="389"/>
      <c r="F3267" s="409"/>
      <c r="G3267" s="410"/>
      <c r="H3267" s="249">
        <f>SUM(G3263:H3264)</f>
        <v>4.63</v>
      </c>
    </row>
    <row r="3268" spans="1:10">
      <c r="A3268" s="398"/>
      <c r="B3268" s="955" t="s">
        <v>537</v>
      </c>
      <c r="C3268" s="955"/>
      <c r="D3268" s="955"/>
      <c r="E3268" s="389"/>
      <c r="F3268" s="409"/>
      <c r="G3268" s="410"/>
      <c r="H3268" s="249">
        <f>SUM(G3265:H3266)</f>
        <v>3.94</v>
      </c>
    </row>
    <row r="3269" spans="1:10">
      <c r="A3269" s="398"/>
      <c r="B3269" s="955" t="s">
        <v>1937</v>
      </c>
      <c r="C3269" s="955"/>
      <c r="D3269" s="955"/>
      <c r="E3269" s="389"/>
      <c r="F3269" s="409"/>
      <c r="G3269" s="410"/>
      <c r="H3269" s="249">
        <f>SUM(H3267:H3268)</f>
        <v>8.57</v>
      </c>
    </row>
    <row r="3270" spans="1:10">
      <c r="A3270" s="398"/>
      <c r="B3270" s="955" t="s">
        <v>538</v>
      </c>
      <c r="C3270" s="955"/>
      <c r="D3270" s="955"/>
      <c r="E3270" s="389"/>
      <c r="F3270" s="411" t="s">
        <v>539</v>
      </c>
      <c r="G3270" s="410"/>
      <c r="H3270" s="249">
        <f>ROUND(H3269*F3270,2)</f>
        <v>2.14</v>
      </c>
    </row>
    <row r="3271" spans="1:10" s="406" customFormat="1" ht="15">
      <c r="A3271" s="398"/>
      <c r="B3271" s="956" t="s">
        <v>540</v>
      </c>
      <c r="C3271" s="956"/>
      <c r="D3271" s="956"/>
      <c r="E3271" s="740"/>
      <c r="F3271" s="768"/>
      <c r="G3271" s="769"/>
      <c r="H3271" s="770">
        <f>SUM(H3269:H3270)</f>
        <v>10.71</v>
      </c>
      <c r="I3271" s="407"/>
      <c r="J3271" s="408"/>
    </row>
    <row r="3272" spans="1:10" s="581" customFormat="1" ht="15">
      <c r="A3272" s="601"/>
      <c r="B3272" s="780"/>
      <c r="C3272" s="780"/>
      <c r="D3272" s="780"/>
      <c r="E3272" s="740"/>
      <c r="F3272" s="768"/>
      <c r="G3272" s="769"/>
      <c r="H3272" s="770"/>
      <c r="I3272" s="603"/>
      <c r="J3272" s="604"/>
    </row>
    <row r="3273" spans="1:10">
      <c r="A3273" s="403" t="s">
        <v>2569</v>
      </c>
      <c r="B3273" s="961" t="s">
        <v>721</v>
      </c>
      <c r="C3273" s="961"/>
      <c r="D3273" s="961"/>
      <c r="E3273" s="961"/>
      <c r="F3273" s="961"/>
      <c r="G3273" s="402"/>
      <c r="H3273" s="403" t="s">
        <v>14</v>
      </c>
    </row>
    <row r="3274" spans="1:10">
      <c r="A3274" s="398"/>
      <c r="B3274" s="230" t="s">
        <v>721</v>
      </c>
      <c r="C3274" s="231" t="s">
        <v>722</v>
      </c>
      <c r="D3274" s="401">
        <v>1</v>
      </c>
      <c r="E3274" s="959">
        <f>Insumos!C458</f>
        <v>29.392999999999997</v>
      </c>
      <c r="F3274" s="959"/>
      <c r="G3274" s="958">
        <f>ROUND(D3274*E3274,2)</f>
        <v>29.39</v>
      </c>
      <c r="H3274" s="958"/>
    </row>
    <row r="3275" spans="1:10">
      <c r="A3275" s="398"/>
      <c r="B3275" s="230" t="s">
        <v>517</v>
      </c>
      <c r="C3275" s="231" t="s">
        <v>112</v>
      </c>
      <c r="D3275" s="401">
        <v>0.35</v>
      </c>
      <c r="E3275" s="959">
        <f>Insumos!C459</f>
        <v>8.6722999999999999</v>
      </c>
      <c r="F3275" s="959"/>
      <c r="G3275" s="958">
        <f>ROUND(D3275*E3275,2)</f>
        <v>3.04</v>
      </c>
      <c r="H3275" s="958"/>
    </row>
    <row r="3276" spans="1:10">
      <c r="A3276" s="398"/>
      <c r="B3276" s="230" t="s">
        <v>704</v>
      </c>
      <c r="C3276" s="231" t="s">
        <v>112</v>
      </c>
      <c r="D3276" s="401">
        <v>0.35</v>
      </c>
      <c r="E3276" s="959">
        <f>Insumos!C460</f>
        <v>6.4792000000000005</v>
      </c>
      <c r="F3276" s="959"/>
      <c r="G3276" s="958">
        <f>ROUND(D3276*E3276,2)</f>
        <v>2.27</v>
      </c>
      <c r="H3276" s="958"/>
    </row>
    <row r="3277" spans="1:10">
      <c r="A3277" s="398"/>
      <c r="B3277" s="955" t="s">
        <v>536</v>
      </c>
      <c r="C3277" s="955"/>
      <c r="D3277" s="955"/>
      <c r="E3277" s="389"/>
      <c r="F3277" s="409"/>
      <c r="G3277" s="410"/>
      <c r="H3277" s="249">
        <f>SUM(G3274)</f>
        <v>29.39</v>
      </c>
    </row>
    <row r="3278" spans="1:10">
      <c r="A3278" s="398"/>
      <c r="B3278" s="955" t="s">
        <v>537</v>
      </c>
      <c r="C3278" s="955"/>
      <c r="D3278" s="955"/>
      <c r="E3278" s="389"/>
      <c r="F3278" s="409"/>
      <c r="G3278" s="410"/>
      <c r="H3278" s="249">
        <f>SUM(G3275:H3276)</f>
        <v>5.3100000000000005</v>
      </c>
    </row>
    <row r="3279" spans="1:10">
      <c r="A3279" s="398"/>
      <c r="B3279" s="955" t="s">
        <v>1937</v>
      </c>
      <c r="C3279" s="955"/>
      <c r="D3279" s="955"/>
      <c r="E3279" s="389"/>
      <c r="F3279" s="409"/>
      <c r="G3279" s="410"/>
      <c r="H3279" s="249">
        <f>SUM(H3277:H3278)</f>
        <v>34.700000000000003</v>
      </c>
    </row>
    <row r="3280" spans="1:10">
      <c r="A3280" s="398"/>
      <c r="B3280" s="955" t="s">
        <v>538</v>
      </c>
      <c r="C3280" s="955"/>
      <c r="D3280" s="955"/>
      <c r="E3280" s="389"/>
      <c r="F3280" s="411" t="s">
        <v>539</v>
      </c>
      <c r="G3280" s="410"/>
      <c r="H3280" s="249">
        <f>ROUND(H3279*F3280,2)</f>
        <v>8.66</v>
      </c>
    </row>
    <row r="3281" spans="1:10">
      <c r="A3281" s="398"/>
      <c r="B3281" s="956" t="s">
        <v>540</v>
      </c>
      <c r="C3281" s="956"/>
      <c r="D3281" s="956"/>
      <c r="E3281" s="740"/>
      <c r="F3281" s="768"/>
      <c r="G3281" s="769"/>
      <c r="H3281" s="770">
        <f>SUM(H3279:H3280)</f>
        <v>43.36</v>
      </c>
    </row>
    <row r="3282" spans="1:10" s="579" customFormat="1">
      <c r="A3282" s="601"/>
      <c r="B3282" s="780"/>
      <c r="C3282" s="780"/>
      <c r="D3282" s="780"/>
      <c r="E3282" s="740"/>
      <c r="F3282" s="768"/>
      <c r="G3282" s="769"/>
      <c r="H3282" s="770"/>
      <c r="I3282" s="400"/>
      <c r="J3282" s="404"/>
    </row>
    <row r="3283" spans="1:10">
      <c r="A3283" s="403" t="s">
        <v>2570</v>
      </c>
      <c r="B3283" s="961" t="s">
        <v>300</v>
      </c>
      <c r="C3283" s="961"/>
      <c r="D3283" s="961"/>
      <c r="E3283" s="961"/>
      <c r="F3283" s="961"/>
      <c r="G3283" s="402"/>
      <c r="H3283" s="403" t="s">
        <v>14</v>
      </c>
    </row>
    <row r="3284" spans="1:10">
      <c r="A3284" s="398"/>
      <c r="B3284" s="230" t="s">
        <v>723</v>
      </c>
      <c r="C3284" s="231" t="s">
        <v>14</v>
      </c>
      <c r="D3284" s="401">
        <v>1</v>
      </c>
      <c r="E3284" s="959">
        <f>Insumos!C461</f>
        <v>14.4053</v>
      </c>
      <c r="F3284" s="959"/>
      <c r="G3284" s="958">
        <f>ROUND(D3284*E3284,2)</f>
        <v>14.41</v>
      </c>
      <c r="H3284" s="958"/>
    </row>
    <row r="3285" spans="1:10" s="406" customFormat="1" ht="15">
      <c r="A3285" s="398"/>
      <c r="B3285" s="230" t="s">
        <v>535</v>
      </c>
      <c r="C3285" s="231" t="s">
        <v>112</v>
      </c>
      <c r="D3285" s="401">
        <v>0.5</v>
      </c>
      <c r="E3285" s="959">
        <f>Insumos!C462</f>
        <v>6.4064000000000005</v>
      </c>
      <c r="F3285" s="959"/>
      <c r="G3285" s="958">
        <f>ROUND(D3285*E3285,2)</f>
        <v>3.2</v>
      </c>
      <c r="H3285" s="958"/>
      <c r="I3285" s="407"/>
      <c r="J3285" s="408"/>
    </row>
    <row r="3286" spans="1:10">
      <c r="A3286" s="398"/>
      <c r="B3286" s="955" t="s">
        <v>536</v>
      </c>
      <c r="C3286" s="955"/>
      <c r="D3286" s="955"/>
      <c r="E3286" s="389"/>
      <c r="F3286" s="409"/>
      <c r="G3286" s="410"/>
      <c r="H3286" s="249">
        <f>SUM(G3284)</f>
        <v>14.41</v>
      </c>
    </row>
    <row r="3287" spans="1:10">
      <c r="A3287" s="398"/>
      <c r="B3287" s="955" t="s">
        <v>537</v>
      </c>
      <c r="C3287" s="955"/>
      <c r="D3287" s="955"/>
      <c r="E3287" s="389"/>
      <c r="F3287" s="409"/>
      <c r="G3287" s="410"/>
      <c r="H3287" s="249">
        <f>SUM(G3285)</f>
        <v>3.2</v>
      </c>
    </row>
    <row r="3288" spans="1:10">
      <c r="A3288" s="398"/>
      <c r="B3288" s="955" t="s">
        <v>1937</v>
      </c>
      <c r="C3288" s="955"/>
      <c r="D3288" s="955"/>
      <c r="E3288" s="389"/>
      <c r="F3288" s="409"/>
      <c r="G3288" s="410"/>
      <c r="H3288" s="249">
        <f>SUM(H3286:H3287)</f>
        <v>17.61</v>
      </c>
    </row>
    <row r="3289" spans="1:10">
      <c r="A3289" s="398"/>
      <c r="B3289" s="955" t="s">
        <v>538</v>
      </c>
      <c r="C3289" s="955"/>
      <c r="D3289" s="955"/>
      <c r="E3289" s="389"/>
      <c r="F3289" s="411" t="s">
        <v>539</v>
      </c>
      <c r="G3289" s="410"/>
      <c r="H3289" s="249">
        <f>ROUND(H3288*F3289,2)</f>
        <v>4.4000000000000004</v>
      </c>
    </row>
    <row r="3290" spans="1:10">
      <c r="A3290" s="398"/>
      <c r="B3290" s="956" t="s">
        <v>540</v>
      </c>
      <c r="C3290" s="956"/>
      <c r="D3290" s="956"/>
      <c r="E3290" s="740"/>
      <c r="F3290" s="768"/>
      <c r="G3290" s="769"/>
      <c r="H3290" s="770">
        <f>SUM(H3288:H3289)</f>
        <v>22.009999999999998</v>
      </c>
    </row>
    <row r="3291" spans="1:10" s="579" customFormat="1">
      <c r="A3291" s="601"/>
      <c r="B3291" s="780"/>
      <c r="C3291" s="780"/>
      <c r="D3291" s="780"/>
      <c r="E3291" s="740"/>
      <c r="F3291" s="768"/>
      <c r="G3291" s="769"/>
      <c r="H3291" s="770"/>
      <c r="I3291" s="400"/>
      <c r="J3291" s="404"/>
    </row>
    <row r="3292" spans="1:10">
      <c r="A3292" s="403" t="s">
        <v>2571</v>
      </c>
      <c r="B3292" s="961" t="s">
        <v>724</v>
      </c>
      <c r="C3292" s="961"/>
      <c r="D3292" s="961"/>
      <c r="E3292" s="961"/>
      <c r="F3292" s="961"/>
      <c r="G3292" s="402"/>
      <c r="H3292" s="403" t="s">
        <v>14</v>
      </c>
    </row>
    <row r="3293" spans="1:10">
      <c r="A3293" s="398"/>
      <c r="B3293" s="230" t="s">
        <v>725</v>
      </c>
      <c r="C3293" s="231" t="s">
        <v>14</v>
      </c>
      <c r="D3293" s="436">
        <v>1</v>
      </c>
      <c r="E3293" s="964">
        <f>Insumos!C463</f>
        <v>6.9159999999999995</v>
      </c>
      <c r="F3293" s="964"/>
      <c r="G3293" s="958">
        <f t="shared" ref="G3293:G3298" si="121">ROUND(D3293*E3293,2)</f>
        <v>6.92</v>
      </c>
      <c r="H3293" s="958"/>
    </row>
    <row r="3294" spans="1:10">
      <c r="A3294" s="398"/>
      <c r="B3294" s="230" t="s">
        <v>638</v>
      </c>
      <c r="C3294" s="231" t="s">
        <v>16</v>
      </c>
      <c r="D3294" s="436">
        <v>0.01</v>
      </c>
      <c r="E3294" s="964">
        <f>Insumos!C464</f>
        <v>3.64</v>
      </c>
      <c r="F3294" s="964"/>
      <c r="G3294" s="958">
        <f t="shared" si="121"/>
        <v>0.04</v>
      </c>
      <c r="H3294" s="958"/>
    </row>
    <row r="3295" spans="1:10">
      <c r="A3295" s="398"/>
      <c r="B3295" s="230" t="s">
        <v>549</v>
      </c>
      <c r="C3295" s="231" t="s">
        <v>16</v>
      </c>
      <c r="D3295" s="436">
        <v>0.495</v>
      </c>
      <c r="E3295" s="964">
        <f>Insumos!C465</f>
        <v>0.50050000000000006</v>
      </c>
      <c r="F3295" s="964"/>
      <c r="G3295" s="958">
        <f t="shared" si="121"/>
        <v>0.25</v>
      </c>
      <c r="H3295" s="958"/>
    </row>
    <row r="3296" spans="1:10">
      <c r="A3296" s="398"/>
      <c r="B3296" s="230" t="s">
        <v>544</v>
      </c>
      <c r="C3296" s="231" t="s">
        <v>97</v>
      </c>
      <c r="D3296" s="436">
        <v>5.0000000000000001E-3</v>
      </c>
      <c r="E3296" s="964">
        <f>Insumos!C466</f>
        <v>40.950000000000003</v>
      </c>
      <c r="F3296" s="964"/>
      <c r="G3296" s="958">
        <f t="shared" si="121"/>
        <v>0.2</v>
      </c>
      <c r="H3296" s="958"/>
    </row>
    <row r="3297" spans="1:10">
      <c r="A3297" s="398"/>
      <c r="B3297" s="230" t="s">
        <v>509</v>
      </c>
      <c r="C3297" s="231" t="s">
        <v>112</v>
      </c>
      <c r="D3297" s="436">
        <v>1</v>
      </c>
      <c r="E3297" s="959">
        <f>Insumos!C467</f>
        <v>6.4064000000000005</v>
      </c>
      <c r="F3297" s="959"/>
      <c r="G3297" s="958">
        <f t="shared" si="121"/>
        <v>6.41</v>
      </c>
      <c r="H3297" s="958"/>
    </row>
    <row r="3298" spans="1:10" s="406" customFormat="1" ht="15">
      <c r="A3298" s="398"/>
      <c r="B3298" s="230" t="s">
        <v>515</v>
      </c>
      <c r="C3298" s="231" t="s">
        <v>112</v>
      </c>
      <c r="D3298" s="436">
        <v>1</v>
      </c>
      <c r="E3298" s="959">
        <f>Insumos!C468</f>
        <v>7.8806000000000003</v>
      </c>
      <c r="F3298" s="959"/>
      <c r="G3298" s="958">
        <f t="shared" si="121"/>
        <v>7.88</v>
      </c>
      <c r="H3298" s="958"/>
      <c r="I3298" s="407"/>
      <c r="J3298" s="408"/>
    </row>
    <row r="3299" spans="1:10">
      <c r="A3299" s="398"/>
      <c r="B3299" s="955" t="s">
        <v>536</v>
      </c>
      <c r="C3299" s="955"/>
      <c r="D3299" s="955"/>
      <c r="E3299" s="389"/>
      <c r="F3299" s="409"/>
      <c r="G3299" s="410"/>
      <c r="H3299" s="249">
        <f>SUM(G3293:H3296)</f>
        <v>7.41</v>
      </c>
    </row>
    <row r="3300" spans="1:10">
      <c r="A3300" s="398"/>
      <c r="B3300" s="955" t="s">
        <v>537</v>
      </c>
      <c r="C3300" s="955"/>
      <c r="D3300" s="955"/>
      <c r="E3300" s="389"/>
      <c r="F3300" s="409"/>
      <c r="G3300" s="410"/>
      <c r="H3300" s="249">
        <f>SUM(G3297:H3298)</f>
        <v>14.29</v>
      </c>
    </row>
    <row r="3301" spans="1:10">
      <c r="A3301" s="398"/>
      <c r="B3301" s="955" t="s">
        <v>1937</v>
      </c>
      <c r="C3301" s="955"/>
      <c r="D3301" s="955"/>
      <c r="E3301" s="389"/>
      <c r="F3301" s="409"/>
      <c r="G3301" s="410"/>
      <c r="H3301" s="249">
        <f>SUM(H3299:H3300)</f>
        <v>21.7</v>
      </c>
    </row>
    <row r="3302" spans="1:10">
      <c r="A3302" s="398"/>
      <c r="B3302" s="955" t="s">
        <v>538</v>
      </c>
      <c r="C3302" s="955"/>
      <c r="D3302" s="955"/>
      <c r="E3302" s="389"/>
      <c r="F3302" s="411" t="s">
        <v>539</v>
      </c>
      <c r="G3302" s="410"/>
      <c r="H3302" s="249">
        <f>ROUND(H3301*F3302,2)</f>
        <v>5.42</v>
      </c>
    </row>
    <row r="3303" spans="1:10">
      <c r="A3303" s="398"/>
      <c r="B3303" s="956" t="s">
        <v>540</v>
      </c>
      <c r="C3303" s="956"/>
      <c r="D3303" s="956"/>
      <c r="E3303" s="740"/>
      <c r="F3303" s="768"/>
      <c r="G3303" s="769"/>
      <c r="H3303" s="770">
        <f>SUM(H3301:H3302)</f>
        <v>27.119999999999997</v>
      </c>
    </row>
    <row r="3304" spans="1:10" s="579" customFormat="1">
      <c r="A3304" s="601"/>
      <c r="B3304" s="780"/>
      <c r="C3304" s="780"/>
      <c r="D3304" s="780"/>
      <c r="E3304" s="740"/>
      <c r="F3304" s="768"/>
      <c r="G3304" s="769"/>
      <c r="H3304" s="770"/>
      <c r="I3304" s="400"/>
      <c r="J3304" s="404"/>
    </row>
    <row r="3305" spans="1:10">
      <c r="A3305" s="403" t="s">
        <v>2572</v>
      </c>
      <c r="B3305" s="961" t="s">
        <v>726</v>
      </c>
      <c r="C3305" s="961"/>
      <c r="D3305" s="961"/>
      <c r="E3305" s="961"/>
      <c r="F3305" s="961"/>
      <c r="G3305" s="402"/>
      <c r="H3305" s="403" t="s">
        <v>14</v>
      </c>
    </row>
    <row r="3306" spans="1:10">
      <c r="A3306" s="398"/>
      <c r="B3306" s="230" t="s">
        <v>618</v>
      </c>
      <c r="C3306" s="231" t="s">
        <v>97</v>
      </c>
      <c r="D3306" s="401">
        <v>3.2000000000000002E-3</v>
      </c>
      <c r="E3306" s="959">
        <f>Insumos!C469</f>
        <v>31.85</v>
      </c>
      <c r="F3306" s="959"/>
      <c r="G3306" s="958">
        <f t="shared" ref="G3306:G3314" si="122">ROUND(D3306*E3306,2)</f>
        <v>0.1</v>
      </c>
      <c r="H3306" s="958"/>
    </row>
    <row r="3307" spans="1:10">
      <c r="A3307" s="398"/>
      <c r="B3307" s="230" t="s">
        <v>558</v>
      </c>
      <c r="C3307" s="231" t="s">
        <v>97</v>
      </c>
      <c r="D3307" s="401">
        <v>4.2999999999999997E-2</v>
      </c>
      <c r="E3307" s="959">
        <f>Insumos!C470</f>
        <v>81.900000000000006</v>
      </c>
      <c r="F3307" s="959"/>
      <c r="G3307" s="958">
        <f t="shared" si="122"/>
        <v>3.52</v>
      </c>
      <c r="H3307" s="958"/>
    </row>
    <row r="3308" spans="1:10">
      <c r="A3308" s="398"/>
      <c r="B3308" s="230" t="s">
        <v>727</v>
      </c>
      <c r="C3308" s="231" t="s">
        <v>14</v>
      </c>
      <c r="D3308" s="401">
        <v>8</v>
      </c>
      <c r="E3308" s="959">
        <f>Insumos!C471</f>
        <v>0.42769999999999997</v>
      </c>
      <c r="F3308" s="959"/>
      <c r="G3308" s="958">
        <f t="shared" si="122"/>
        <v>3.42</v>
      </c>
      <c r="H3308" s="958"/>
    </row>
    <row r="3309" spans="1:10">
      <c r="A3309" s="398"/>
      <c r="B3309" s="230" t="s">
        <v>549</v>
      </c>
      <c r="C3309" s="231" t="s">
        <v>16</v>
      </c>
      <c r="D3309" s="401">
        <v>1.6581999999999999</v>
      </c>
      <c r="E3309" s="959">
        <f>Insumos!C472</f>
        <v>0.50050000000000006</v>
      </c>
      <c r="F3309" s="959"/>
      <c r="G3309" s="958">
        <f t="shared" si="122"/>
        <v>0.83</v>
      </c>
      <c r="H3309" s="958"/>
    </row>
    <row r="3310" spans="1:10">
      <c r="A3310" s="398"/>
      <c r="B3310" s="230" t="s">
        <v>728</v>
      </c>
      <c r="C3310" s="231" t="s">
        <v>16</v>
      </c>
      <c r="D3310" s="401">
        <v>1.1454</v>
      </c>
      <c r="E3310" s="959">
        <f>Insumos!C473</f>
        <v>2.6481000000000003</v>
      </c>
      <c r="F3310" s="959"/>
      <c r="G3310" s="958">
        <f t="shared" si="122"/>
        <v>3.03</v>
      </c>
      <c r="H3310" s="958"/>
    </row>
    <row r="3311" spans="1:10" s="406" customFormat="1" ht="15">
      <c r="A3311" s="398"/>
      <c r="B3311" s="230" t="s">
        <v>1414</v>
      </c>
      <c r="C3311" s="231" t="s">
        <v>729</v>
      </c>
      <c r="D3311" s="401">
        <v>0.9</v>
      </c>
      <c r="E3311" s="959">
        <f>Insumos!C474</f>
        <v>11.5115</v>
      </c>
      <c r="F3311" s="959"/>
      <c r="G3311" s="958">
        <f t="shared" si="122"/>
        <v>10.36</v>
      </c>
      <c r="H3311" s="958"/>
      <c r="I3311" s="407"/>
      <c r="J3311" s="408"/>
    </row>
    <row r="3312" spans="1:10">
      <c r="A3312" s="398"/>
      <c r="B3312" s="230" t="s">
        <v>631</v>
      </c>
      <c r="C3312" s="231" t="s">
        <v>112</v>
      </c>
      <c r="D3312" s="401">
        <v>4.3250000000000002</v>
      </c>
      <c r="E3312" s="959">
        <f>Insumos!C475</f>
        <v>8.19</v>
      </c>
      <c r="F3312" s="959"/>
      <c r="G3312" s="958">
        <f t="shared" si="122"/>
        <v>35.42</v>
      </c>
      <c r="H3312" s="958"/>
    </row>
    <row r="3313" spans="1:10">
      <c r="A3313" s="398"/>
      <c r="B3313" s="230" t="s">
        <v>576</v>
      </c>
      <c r="C3313" s="231" t="s">
        <v>112</v>
      </c>
      <c r="D3313" s="401">
        <v>1.0225</v>
      </c>
      <c r="E3313" s="959">
        <f>Insumos!C476</f>
        <v>8.6722999999999999</v>
      </c>
      <c r="F3313" s="959"/>
      <c r="G3313" s="958">
        <f t="shared" si="122"/>
        <v>8.8699999999999992</v>
      </c>
      <c r="H3313" s="958"/>
    </row>
    <row r="3314" spans="1:10">
      <c r="A3314" s="398"/>
      <c r="B3314" s="230" t="s">
        <v>535</v>
      </c>
      <c r="C3314" s="231" t="s">
        <v>112</v>
      </c>
      <c r="D3314" s="401">
        <v>8.1000000000000003E-2</v>
      </c>
      <c r="E3314" s="959">
        <f>Insumos!C477</f>
        <v>6.4064000000000005</v>
      </c>
      <c r="F3314" s="959"/>
      <c r="G3314" s="958">
        <f t="shared" si="122"/>
        <v>0.52</v>
      </c>
      <c r="H3314" s="958"/>
    </row>
    <row r="3315" spans="1:10">
      <c r="A3315" s="398"/>
      <c r="B3315" s="955" t="s">
        <v>536</v>
      </c>
      <c r="C3315" s="955"/>
      <c r="D3315" s="955"/>
      <c r="E3315" s="389"/>
      <c r="F3315" s="409"/>
      <c r="G3315" s="410"/>
      <c r="H3315" s="249">
        <f>SUM(G3306:H3311)</f>
        <v>21.259999999999998</v>
      </c>
    </row>
    <row r="3316" spans="1:10">
      <c r="A3316" s="398"/>
      <c r="B3316" s="955" t="s">
        <v>537</v>
      </c>
      <c r="C3316" s="955"/>
      <c r="D3316" s="955"/>
      <c r="E3316" s="389"/>
      <c r="F3316" s="409"/>
      <c r="G3316" s="410"/>
      <c r="H3316" s="249">
        <f>SUM(G3312:H3314)</f>
        <v>44.81</v>
      </c>
    </row>
    <row r="3317" spans="1:10">
      <c r="A3317" s="398"/>
      <c r="B3317" s="955" t="s">
        <v>1937</v>
      </c>
      <c r="C3317" s="955"/>
      <c r="D3317" s="955"/>
      <c r="E3317" s="389"/>
      <c r="F3317" s="409"/>
      <c r="G3317" s="410"/>
      <c r="H3317" s="249">
        <f>SUM(H3315:H3316)</f>
        <v>66.069999999999993</v>
      </c>
    </row>
    <row r="3318" spans="1:10">
      <c r="A3318" s="398"/>
      <c r="B3318" s="955" t="s">
        <v>538</v>
      </c>
      <c r="C3318" s="955"/>
      <c r="D3318" s="955"/>
      <c r="E3318" s="389"/>
      <c r="F3318" s="411" t="s">
        <v>539</v>
      </c>
      <c r="G3318" s="410"/>
      <c r="H3318" s="249">
        <f>ROUND(H3317*F3318,2)</f>
        <v>16.489999999999998</v>
      </c>
    </row>
    <row r="3319" spans="1:10">
      <c r="A3319" s="398"/>
      <c r="B3319" s="956" t="s">
        <v>540</v>
      </c>
      <c r="C3319" s="956"/>
      <c r="D3319" s="956"/>
      <c r="E3319" s="740"/>
      <c r="F3319" s="768"/>
      <c r="G3319" s="769"/>
      <c r="H3319" s="770">
        <f>SUM(H3317:H3318)</f>
        <v>82.559999999999988</v>
      </c>
    </row>
    <row r="3320" spans="1:10" s="579" customFormat="1">
      <c r="A3320" s="601"/>
      <c r="B3320" s="780"/>
      <c r="C3320" s="780"/>
      <c r="D3320" s="780"/>
      <c r="E3320" s="740"/>
      <c r="F3320" s="768"/>
      <c r="G3320" s="769"/>
      <c r="H3320" s="770"/>
      <c r="I3320" s="400"/>
      <c r="J3320" s="404"/>
    </row>
    <row r="3321" spans="1:10">
      <c r="A3321" s="403" t="s">
        <v>2573</v>
      </c>
      <c r="B3321" s="960" t="s">
        <v>1444</v>
      </c>
      <c r="C3321" s="960"/>
      <c r="D3321" s="960"/>
      <c r="E3321" s="960"/>
      <c r="F3321" s="960"/>
      <c r="G3321" s="446"/>
      <c r="H3321" s="444" t="s">
        <v>14</v>
      </c>
    </row>
    <row r="3322" spans="1:10">
      <c r="A3322" s="447"/>
      <c r="B3322" s="449" t="s">
        <v>713</v>
      </c>
      <c r="C3322" s="448" t="s">
        <v>14</v>
      </c>
      <c r="D3322" s="457">
        <v>0.56000000000000005</v>
      </c>
      <c r="E3322" s="974">
        <f>Insumos!C478</f>
        <v>3.1395000000000004</v>
      </c>
      <c r="F3322" s="974"/>
      <c r="G3322" s="976">
        <f>ROUND(D3322*E3322,2)</f>
        <v>1.76</v>
      </c>
      <c r="H3322" s="976"/>
    </row>
    <row r="3323" spans="1:10" s="406" customFormat="1" ht="15">
      <c r="A3323" s="447"/>
      <c r="B3323" s="449" t="s">
        <v>730</v>
      </c>
      <c r="C3323" s="448" t="s">
        <v>14</v>
      </c>
      <c r="D3323" s="457">
        <v>1</v>
      </c>
      <c r="E3323" s="974">
        <f>Insumos!C479</f>
        <v>1619.8</v>
      </c>
      <c r="F3323" s="974"/>
      <c r="G3323" s="976">
        <f>ROUND(D3323*E3323,2)</f>
        <v>1619.8</v>
      </c>
      <c r="H3323" s="976"/>
      <c r="I3323" s="407"/>
      <c r="J3323" s="408"/>
    </row>
    <row r="3324" spans="1:10">
      <c r="A3324" s="447"/>
      <c r="B3324" s="449" t="s">
        <v>517</v>
      </c>
      <c r="C3324" s="448" t="s">
        <v>112</v>
      </c>
      <c r="D3324" s="457">
        <v>0.5</v>
      </c>
      <c r="E3324" s="974">
        <f>Insumos!C480</f>
        <v>8.6722999999999999</v>
      </c>
      <c r="F3324" s="974"/>
      <c r="G3324" s="976">
        <f>ROUND(D3324*E3324,2)</f>
        <v>4.34</v>
      </c>
      <c r="H3324" s="976"/>
    </row>
    <row r="3325" spans="1:10">
      <c r="A3325" s="447"/>
      <c r="B3325" s="449" t="s">
        <v>516</v>
      </c>
      <c r="C3325" s="448" t="s">
        <v>112</v>
      </c>
      <c r="D3325" s="457">
        <v>0.5</v>
      </c>
      <c r="E3325" s="974">
        <f>Insumos!C481</f>
        <v>7.0798000000000005</v>
      </c>
      <c r="F3325" s="974"/>
      <c r="G3325" s="976">
        <f>ROUND(D3325*E3325,2)</f>
        <v>3.54</v>
      </c>
      <c r="H3325" s="976"/>
    </row>
    <row r="3326" spans="1:10">
      <c r="A3326" s="447"/>
      <c r="B3326" s="970" t="s">
        <v>536</v>
      </c>
      <c r="C3326" s="970"/>
      <c r="D3326" s="970"/>
      <c r="E3326" s="450"/>
      <c r="F3326" s="451"/>
      <c r="G3326" s="452"/>
      <c r="H3326" s="453">
        <f>SUM(G3322:H3323)</f>
        <v>1621.56</v>
      </c>
    </row>
    <row r="3327" spans="1:10">
      <c r="A3327" s="447"/>
      <c r="B3327" s="970" t="s">
        <v>537</v>
      </c>
      <c r="C3327" s="970"/>
      <c r="D3327" s="970"/>
      <c r="E3327" s="450"/>
      <c r="F3327" s="451"/>
      <c r="G3327" s="452"/>
      <c r="H3327" s="453">
        <f>SUM(G3324:H3325)</f>
        <v>7.88</v>
      </c>
    </row>
    <row r="3328" spans="1:10">
      <c r="A3328" s="447"/>
      <c r="B3328" s="970" t="s">
        <v>1937</v>
      </c>
      <c r="C3328" s="970"/>
      <c r="D3328" s="970"/>
      <c r="E3328" s="450"/>
      <c r="F3328" s="451"/>
      <c r="G3328" s="452"/>
      <c r="H3328" s="453">
        <f>SUM(H3326:H3327)</f>
        <v>1629.44</v>
      </c>
    </row>
    <row r="3329" spans="1:10">
      <c r="A3329" s="447"/>
      <c r="B3329" s="970" t="s">
        <v>538</v>
      </c>
      <c r="C3329" s="970"/>
      <c r="D3329" s="970"/>
      <c r="E3329" s="450"/>
      <c r="F3329" s="454" t="s">
        <v>539</v>
      </c>
      <c r="G3329" s="452"/>
      <c r="H3329" s="453">
        <f>ROUND(H3328*F3329,2)</f>
        <v>406.71</v>
      </c>
    </row>
    <row r="3330" spans="1:10">
      <c r="A3330" s="447"/>
      <c r="B3330" s="972" t="s">
        <v>540</v>
      </c>
      <c r="C3330" s="972"/>
      <c r="D3330" s="972"/>
      <c r="E3330" s="781"/>
      <c r="F3330" s="782"/>
      <c r="G3330" s="783"/>
      <c r="H3330" s="784">
        <f>SUM(H3328:H3329)</f>
        <v>2036.15</v>
      </c>
    </row>
    <row r="3331" spans="1:10" s="579" customFormat="1">
      <c r="A3331" s="447"/>
      <c r="B3331" s="797"/>
      <c r="C3331" s="797"/>
      <c r="D3331" s="797"/>
      <c r="E3331" s="781"/>
      <c r="F3331" s="782"/>
      <c r="G3331" s="783"/>
      <c r="H3331" s="784"/>
      <c r="I3331" s="400"/>
      <c r="J3331" s="404"/>
    </row>
    <row r="3332" spans="1:10">
      <c r="A3332" s="403" t="s">
        <v>2574</v>
      </c>
      <c r="B3332" s="960" t="s">
        <v>1473</v>
      </c>
      <c r="C3332" s="960"/>
      <c r="D3332" s="960"/>
      <c r="E3332" s="960"/>
      <c r="F3332" s="960"/>
      <c r="G3332" s="446"/>
      <c r="H3332" s="444" t="s">
        <v>14</v>
      </c>
    </row>
    <row r="3333" spans="1:10">
      <c r="A3333" s="447"/>
      <c r="B3333" s="449" t="s">
        <v>713</v>
      </c>
      <c r="C3333" s="448" t="s">
        <v>14</v>
      </c>
      <c r="D3333" s="457">
        <v>0.56000000000000005</v>
      </c>
      <c r="E3333" s="974">
        <f>Insumos!C482</f>
        <v>3.1395000000000004</v>
      </c>
      <c r="F3333" s="974"/>
      <c r="G3333" s="976">
        <f>ROUND(D3333*E3333,2)</f>
        <v>1.76</v>
      </c>
      <c r="H3333" s="976"/>
    </row>
    <row r="3334" spans="1:10">
      <c r="A3334" s="447"/>
      <c r="B3334" s="449" t="s">
        <v>730</v>
      </c>
      <c r="C3334" s="448" t="s">
        <v>14</v>
      </c>
      <c r="D3334" s="457">
        <v>1</v>
      </c>
      <c r="E3334" s="974">
        <f>Insumos!C483</f>
        <v>1619.8</v>
      </c>
      <c r="F3334" s="974"/>
      <c r="G3334" s="976">
        <f>ROUND(D3334*E3334,2)</f>
        <v>1619.8</v>
      </c>
      <c r="H3334" s="976"/>
    </row>
    <row r="3335" spans="1:10" s="406" customFormat="1" ht="15">
      <c r="A3335" s="447"/>
      <c r="B3335" s="449" t="s">
        <v>517</v>
      </c>
      <c r="C3335" s="448" t="s">
        <v>112</v>
      </c>
      <c r="D3335" s="457">
        <v>0.5</v>
      </c>
      <c r="E3335" s="974">
        <f>Insumos!C484</f>
        <v>8.6722999999999999</v>
      </c>
      <c r="F3335" s="974"/>
      <c r="G3335" s="976">
        <f>ROUND(D3335*E3335,2)</f>
        <v>4.34</v>
      </c>
      <c r="H3335" s="976"/>
      <c r="I3335" s="407"/>
      <c r="J3335" s="408"/>
    </row>
    <row r="3336" spans="1:10">
      <c r="A3336" s="447"/>
      <c r="B3336" s="449" t="s">
        <v>516</v>
      </c>
      <c r="C3336" s="448" t="s">
        <v>112</v>
      </c>
      <c r="D3336" s="457">
        <v>0.5</v>
      </c>
      <c r="E3336" s="974">
        <f>Insumos!C485</f>
        <v>7.0798000000000005</v>
      </c>
      <c r="F3336" s="974"/>
      <c r="G3336" s="976">
        <f>ROUND(D3336*E3336,2)</f>
        <v>3.54</v>
      </c>
      <c r="H3336" s="976"/>
    </row>
    <row r="3337" spans="1:10">
      <c r="A3337" s="447"/>
      <c r="B3337" s="970" t="s">
        <v>536</v>
      </c>
      <c r="C3337" s="970"/>
      <c r="D3337" s="970"/>
      <c r="E3337" s="450"/>
      <c r="F3337" s="451"/>
      <c r="G3337" s="452"/>
      <c r="H3337" s="453">
        <f>SUM(G3333:H3334)</f>
        <v>1621.56</v>
      </c>
    </row>
    <row r="3338" spans="1:10">
      <c r="A3338" s="447"/>
      <c r="B3338" s="970" t="s">
        <v>537</v>
      </c>
      <c r="C3338" s="970"/>
      <c r="D3338" s="970"/>
      <c r="E3338" s="450"/>
      <c r="F3338" s="451"/>
      <c r="G3338" s="452"/>
      <c r="H3338" s="453">
        <f>SUM(G3335:H3336)</f>
        <v>7.88</v>
      </c>
    </row>
    <row r="3339" spans="1:10">
      <c r="A3339" s="447"/>
      <c r="B3339" s="970" t="s">
        <v>1937</v>
      </c>
      <c r="C3339" s="970"/>
      <c r="D3339" s="970"/>
      <c r="E3339" s="450"/>
      <c r="F3339" s="451"/>
      <c r="G3339" s="452"/>
      <c r="H3339" s="453">
        <f>SUM(H3337:H3338)</f>
        <v>1629.44</v>
      </c>
    </row>
    <row r="3340" spans="1:10">
      <c r="A3340" s="447"/>
      <c r="B3340" s="970" t="s">
        <v>538</v>
      </c>
      <c r="C3340" s="970"/>
      <c r="D3340" s="970"/>
      <c r="E3340" s="450"/>
      <c r="F3340" s="454" t="s">
        <v>539</v>
      </c>
      <c r="G3340" s="452"/>
      <c r="H3340" s="453">
        <f>ROUND(H3339*F3340,2)</f>
        <v>406.71</v>
      </c>
    </row>
    <row r="3341" spans="1:10">
      <c r="A3341" s="447"/>
      <c r="B3341" s="972" t="s">
        <v>540</v>
      </c>
      <c r="C3341" s="972"/>
      <c r="D3341" s="972"/>
      <c r="E3341" s="781"/>
      <c r="F3341" s="782"/>
      <c r="G3341" s="783"/>
      <c r="H3341" s="784">
        <f>SUM(H3339:H3340)</f>
        <v>2036.15</v>
      </c>
    </row>
    <row r="3342" spans="1:10" s="579" customFormat="1">
      <c r="A3342" s="447"/>
      <c r="B3342" s="797"/>
      <c r="C3342" s="797"/>
      <c r="D3342" s="797"/>
      <c r="E3342" s="781"/>
      <c r="F3342" s="782"/>
      <c r="G3342" s="783"/>
      <c r="H3342" s="784"/>
      <c r="I3342" s="400"/>
      <c r="J3342" s="404"/>
    </row>
    <row r="3343" spans="1:10" ht="32.1" customHeight="1">
      <c r="A3343" s="403" t="s">
        <v>2575</v>
      </c>
      <c r="B3343" s="961" t="s">
        <v>731</v>
      </c>
      <c r="C3343" s="961"/>
      <c r="D3343" s="961"/>
      <c r="E3343" s="961"/>
      <c r="F3343" s="961"/>
      <c r="G3343" s="402"/>
      <c r="H3343" s="403" t="s">
        <v>14</v>
      </c>
    </row>
    <row r="3344" spans="1:10">
      <c r="A3344" s="398"/>
      <c r="B3344" s="230" t="s">
        <v>732</v>
      </c>
      <c r="C3344" s="231" t="s">
        <v>14</v>
      </c>
      <c r="D3344" s="436">
        <v>1</v>
      </c>
      <c r="E3344" s="964">
        <f>Insumos!C486</f>
        <v>113.1221</v>
      </c>
      <c r="F3344" s="964"/>
      <c r="G3344" s="958">
        <f t="shared" ref="G3344:G3349" si="123">ROUND(D3344*E3344,2)</f>
        <v>113.12</v>
      </c>
      <c r="H3344" s="958"/>
    </row>
    <row r="3345" spans="1:10">
      <c r="A3345" s="398"/>
      <c r="B3345" s="230" t="s">
        <v>733</v>
      </c>
      <c r="C3345" s="231" t="s">
        <v>14</v>
      </c>
      <c r="D3345" s="436">
        <v>1</v>
      </c>
      <c r="E3345" s="964">
        <f>Insumos!C487</f>
        <v>46.027799999999999</v>
      </c>
      <c r="F3345" s="964"/>
      <c r="G3345" s="958">
        <f t="shared" si="123"/>
        <v>46.03</v>
      </c>
      <c r="H3345" s="958"/>
    </row>
    <row r="3346" spans="1:10">
      <c r="A3346" s="398"/>
      <c r="B3346" s="230" t="s">
        <v>716</v>
      </c>
      <c r="C3346" s="231" t="s">
        <v>14</v>
      </c>
      <c r="D3346" s="436">
        <v>6.4399999999958116E-2</v>
      </c>
      <c r="E3346" s="964">
        <f>Insumos!C488</f>
        <v>1.365</v>
      </c>
      <c r="F3346" s="964"/>
      <c r="G3346" s="958">
        <f t="shared" si="123"/>
        <v>0.09</v>
      </c>
      <c r="H3346" s="958"/>
    </row>
    <row r="3347" spans="1:10" s="406" customFormat="1" ht="22.5">
      <c r="A3347" s="398"/>
      <c r="B3347" s="230" t="s">
        <v>734</v>
      </c>
      <c r="C3347" s="231" t="s">
        <v>14</v>
      </c>
      <c r="D3347" s="436">
        <v>2</v>
      </c>
      <c r="E3347" s="964">
        <f>Insumos!C489</f>
        <v>2.1021000000000001</v>
      </c>
      <c r="F3347" s="964"/>
      <c r="G3347" s="958">
        <f t="shared" si="123"/>
        <v>4.2</v>
      </c>
      <c r="H3347" s="958"/>
      <c r="I3347" s="407"/>
      <c r="J3347" s="408"/>
    </row>
    <row r="3348" spans="1:10">
      <c r="A3348" s="398"/>
      <c r="B3348" s="230" t="s">
        <v>735</v>
      </c>
      <c r="C3348" s="231" t="s">
        <v>112</v>
      </c>
      <c r="D3348" s="436">
        <v>3.2072727272727262</v>
      </c>
      <c r="E3348" s="959">
        <f>Insumos!C490</f>
        <v>7.0798000000000005</v>
      </c>
      <c r="F3348" s="959"/>
      <c r="G3348" s="958">
        <f t="shared" si="123"/>
        <v>22.71</v>
      </c>
      <c r="H3348" s="958"/>
    </row>
    <row r="3349" spans="1:10">
      <c r="A3349" s="398"/>
      <c r="B3349" s="230" t="s">
        <v>517</v>
      </c>
      <c r="C3349" s="231" t="s">
        <v>112</v>
      </c>
      <c r="D3349" s="436">
        <v>3.2</v>
      </c>
      <c r="E3349" s="959">
        <f>Insumos!C491</f>
        <v>8.6722999999999999</v>
      </c>
      <c r="F3349" s="959"/>
      <c r="G3349" s="958">
        <f t="shared" si="123"/>
        <v>27.75</v>
      </c>
      <c r="H3349" s="958"/>
    </row>
    <row r="3350" spans="1:10">
      <c r="A3350" s="398"/>
      <c r="B3350" s="955" t="s">
        <v>536</v>
      </c>
      <c r="C3350" s="955"/>
      <c r="D3350" s="955"/>
      <c r="E3350" s="389"/>
      <c r="F3350" s="409"/>
      <c r="G3350" s="410"/>
      <c r="H3350" s="249">
        <f>SUM(G3344:H3347)</f>
        <v>163.44</v>
      </c>
    </row>
    <row r="3351" spans="1:10">
      <c r="A3351" s="398"/>
      <c r="B3351" s="955" t="s">
        <v>537</v>
      </c>
      <c r="C3351" s="955"/>
      <c r="D3351" s="955"/>
      <c r="E3351" s="389"/>
      <c r="F3351" s="409"/>
      <c r="G3351" s="410"/>
      <c r="H3351" s="249">
        <f>SUM(G3348:H3349)</f>
        <v>50.46</v>
      </c>
    </row>
    <row r="3352" spans="1:10">
      <c r="A3352" s="398"/>
      <c r="B3352" s="955" t="s">
        <v>1937</v>
      </c>
      <c r="C3352" s="955"/>
      <c r="D3352" s="955"/>
      <c r="E3352" s="389"/>
      <c r="F3352" s="409"/>
      <c r="G3352" s="410"/>
      <c r="H3352" s="249">
        <f>SUM(H3350:H3351)</f>
        <v>213.9</v>
      </c>
    </row>
    <row r="3353" spans="1:10">
      <c r="A3353" s="398"/>
      <c r="B3353" s="955" t="s">
        <v>538</v>
      </c>
      <c r="C3353" s="955"/>
      <c r="D3353" s="955"/>
      <c r="E3353" s="389"/>
      <c r="F3353" s="411" t="s">
        <v>539</v>
      </c>
      <c r="G3353" s="410"/>
      <c r="H3353" s="249">
        <f>ROUND(H3352*F3353,2)</f>
        <v>53.39</v>
      </c>
    </row>
    <row r="3354" spans="1:10">
      <c r="A3354" s="398"/>
      <c r="B3354" s="956" t="s">
        <v>540</v>
      </c>
      <c r="C3354" s="956"/>
      <c r="D3354" s="956"/>
      <c r="E3354" s="740"/>
      <c r="F3354" s="768"/>
      <c r="G3354" s="769"/>
      <c r="H3354" s="770">
        <f>SUM(H3352:H3353)</f>
        <v>267.29000000000002</v>
      </c>
    </row>
    <row r="3355" spans="1:10" s="579" customFormat="1">
      <c r="A3355" s="601"/>
      <c r="B3355" s="780"/>
      <c r="C3355" s="780"/>
      <c r="D3355" s="780"/>
      <c r="E3355" s="740"/>
      <c r="F3355" s="768"/>
      <c r="G3355" s="769"/>
      <c r="H3355" s="770"/>
      <c r="I3355" s="400"/>
      <c r="J3355" s="404"/>
    </row>
    <row r="3356" spans="1:10">
      <c r="A3356" s="403" t="s">
        <v>2576</v>
      </c>
      <c r="B3356" s="961" t="s">
        <v>736</v>
      </c>
      <c r="C3356" s="961"/>
      <c r="D3356" s="961"/>
      <c r="E3356" s="961"/>
      <c r="F3356" s="961"/>
      <c r="G3356" s="402"/>
      <c r="H3356" s="403" t="s">
        <v>14</v>
      </c>
    </row>
    <row r="3357" spans="1:10">
      <c r="A3357" s="398"/>
      <c r="B3357" s="230" t="s">
        <v>713</v>
      </c>
      <c r="C3357" s="231" t="s">
        <v>14</v>
      </c>
      <c r="D3357" s="401">
        <v>7.0000000000000007E-2</v>
      </c>
      <c r="E3357" s="959">
        <f>Insumos!C492</f>
        <v>3.1395000000000004</v>
      </c>
      <c r="F3357" s="959"/>
      <c r="G3357" s="958">
        <f>ROUND(D3357*E3357,2)</f>
        <v>0.22</v>
      </c>
      <c r="H3357" s="958"/>
    </row>
    <row r="3358" spans="1:10">
      <c r="A3358" s="398"/>
      <c r="B3358" s="230" t="s">
        <v>737</v>
      </c>
      <c r="C3358" s="231" t="s">
        <v>14</v>
      </c>
      <c r="D3358" s="401">
        <v>1</v>
      </c>
      <c r="E3358" s="959">
        <f>Insumos!C493</f>
        <v>106.6429</v>
      </c>
      <c r="F3358" s="959"/>
      <c r="G3358" s="958">
        <f>ROUND(D3358*E3358,2)</f>
        <v>106.64</v>
      </c>
      <c r="H3358" s="958"/>
    </row>
    <row r="3359" spans="1:10" s="406" customFormat="1" ht="15">
      <c r="A3359" s="398"/>
      <c r="B3359" s="230" t="s">
        <v>517</v>
      </c>
      <c r="C3359" s="231" t="s">
        <v>112</v>
      </c>
      <c r="D3359" s="401">
        <v>0.61</v>
      </c>
      <c r="E3359" s="959">
        <f>Insumos!C494</f>
        <v>8.6722999999999999</v>
      </c>
      <c r="F3359" s="959"/>
      <c r="G3359" s="958">
        <f>ROUND(D3359*E3359,2)</f>
        <v>5.29</v>
      </c>
      <c r="H3359" s="958"/>
      <c r="I3359" s="407"/>
      <c r="J3359" s="408"/>
    </row>
    <row r="3360" spans="1:10">
      <c r="A3360" s="398"/>
      <c r="B3360" s="230" t="s">
        <v>704</v>
      </c>
      <c r="C3360" s="231" t="s">
        <v>112</v>
      </c>
      <c r="D3360" s="401">
        <v>0.61</v>
      </c>
      <c r="E3360" s="959">
        <f>Insumos!C495</f>
        <v>6.4792000000000005</v>
      </c>
      <c r="F3360" s="959"/>
      <c r="G3360" s="958">
        <f>ROUND(D3360*E3360,2)</f>
        <v>3.95</v>
      </c>
      <c r="H3360" s="958"/>
    </row>
    <row r="3361" spans="1:10">
      <c r="A3361" s="398"/>
      <c r="B3361" s="955" t="s">
        <v>536</v>
      </c>
      <c r="C3361" s="955"/>
      <c r="D3361" s="955"/>
      <c r="E3361" s="389"/>
      <c r="F3361" s="409"/>
      <c r="G3361" s="410"/>
      <c r="H3361" s="249">
        <f>SUM(G3357:H3358)</f>
        <v>106.86</v>
      </c>
    </row>
    <row r="3362" spans="1:10">
      <c r="A3362" s="398"/>
      <c r="B3362" s="955" t="s">
        <v>537</v>
      </c>
      <c r="C3362" s="955"/>
      <c r="D3362" s="955"/>
      <c r="E3362" s="389"/>
      <c r="F3362" s="409"/>
      <c r="G3362" s="410"/>
      <c r="H3362" s="249">
        <f>SUM(G3359:H3360)</f>
        <v>9.24</v>
      </c>
    </row>
    <row r="3363" spans="1:10">
      <c r="A3363" s="398"/>
      <c r="B3363" s="955" t="s">
        <v>1937</v>
      </c>
      <c r="C3363" s="955"/>
      <c r="D3363" s="955"/>
      <c r="E3363" s="389"/>
      <c r="F3363" s="409"/>
      <c r="G3363" s="410"/>
      <c r="H3363" s="249">
        <f>SUM(H3361:H3362)</f>
        <v>116.1</v>
      </c>
    </row>
    <row r="3364" spans="1:10">
      <c r="A3364" s="398"/>
      <c r="B3364" s="955" t="s">
        <v>538</v>
      </c>
      <c r="C3364" s="955"/>
      <c r="D3364" s="955"/>
      <c r="E3364" s="389"/>
      <c r="F3364" s="411" t="s">
        <v>539</v>
      </c>
      <c r="G3364" s="410"/>
      <c r="H3364" s="249">
        <f>ROUND(H3363*F3364,2)</f>
        <v>28.98</v>
      </c>
    </row>
    <row r="3365" spans="1:10">
      <c r="A3365" s="398"/>
      <c r="B3365" s="956" t="s">
        <v>540</v>
      </c>
      <c r="C3365" s="956"/>
      <c r="D3365" s="956"/>
      <c r="E3365" s="740"/>
      <c r="F3365" s="768"/>
      <c r="G3365" s="769"/>
      <c r="H3365" s="770">
        <f>SUM(H3363:H3364)</f>
        <v>145.07999999999998</v>
      </c>
    </row>
    <row r="3366" spans="1:10" s="579" customFormat="1">
      <c r="A3366" s="601"/>
      <c r="B3366" s="780"/>
      <c r="C3366" s="780"/>
      <c r="D3366" s="780"/>
      <c r="E3366" s="740"/>
      <c r="F3366" s="768"/>
      <c r="G3366" s="769"/>
      <c r="H3366" s="770"/>
      <c r="I3366" s="400"/>
      <c r="J3366" s="404"/>
    </row>
    <row r="3367" spans="1:10">
      <c r="A3367" s="403" t="s">
        <v>2577</v>
      </c>
      <c r="B3367" s="961" t="s">
        <v>738</v>
      </c>
      <c r="C3367" s="961"/>
      <c r="D3367" s="961"/>
      <c r="E3367" s="961"/>
      <c r="F3367" s="961"/>
      <c r="G3367" s="402"/>
      <c r="H3367" s="403" t="s">
        <v>14</v>
      </c>
    </row>
    <row r="3368" spans="1:10">
      <c r="A3368" s="398"/>
      <c r="B3368" s="230" t="s">
        <v>703</v>
      </c>
      <c r="C3368" s="231" t="s">
        <v>16</v>
      </c>
      <c r="D3368" s="401">
        <v>0.01</v>
      </c>
      <c r="E3368" s="964">
        <f>Insumos!C496</f>
        <v>5.5145999999999997</v>
      </c>
      <c r="F3368" s="964"/>
      <c r="G3368" s="958">
        <f>ROUND(D3368*E3368,2)</f>
        <v>0.06</v>
      </c>
      <c r="H3368" s="958"/>
    </row>
    <row r="3369" spans="1:10">
      <c r="A3369" s="398"/>
      <c r="B3369" s="230" t="s">
        <v>702</v>
      </c>
      <c r="C3369" s="231" t="s">
        <v>612</v>
      </c>
      <c r="D3369" s="401">
        <v>0.01</v>
      </c>
      <c r="E3369" s="964">
        <f>Insumos!C497</f>
        <v>9.90808</v>
      </c>
      <c r="F3369" s="964"/>
      <c r="G3369" s="958">
        <f>ROUND(D3369*E3369,2)</f>
        <v>0.1</v>
      </c>
      <c r="H3369" s="958"/>
    </row>
    <row r="3370" spans="1:10">
      <c r="A3370" s="398"/>
      <c r="B3370" s="230" t="s">
        <v>739</v>
      </c>
      <c r="C3370" s="231" t="s">
        <v>14</v>
      </c>
      <c r="D3370" s="401">
        <v>1.0154786862334033</v>
      </c>
      <c r="E3370" s="964">
        <f>Insumos!C498</f>
        <v>50.341200000000001</v>
      </c>
      <c r="F3370" s="964"/>
      <c r="G3370" s="958">
        <f>ROUND(D3370*E3370,2)</f>
        <v>51.12</v>
      </c>
      <c r="H3370" s="958"/>
    </row>
    <row r="3371" spans="1:10" s="406" customFormat="1" ht="15">
      <c r="A3371" s="398"/>
      <c r="B3371" s="230" t="s">
        <v>517</v>
      </c>
      <c r="C3371" s="231" t="s">
        <v>112</v>
      </c>
      <c r="D3371" s="401">
        <v>0.6</v>
      </c>
      <c r="E3371" s="959">
        <f>Insumos!C499</f>
        <v>8.6722999999999999</v>
      </c>
      <c r="F3371" s="959"/>
      <c r="G3371" s="958">
        <f>ROUND(D3371*E3371,2)</f>
        <v>5.2</v>
      </c>
      <c r="H3371" s="958"/>
      <c r="I3371" s="407"/>
      <c r="J3371" s="408"/>
    </row>
    <row r="3372" spans="1:10">
      <c r="A3372" s="398"/>
      <c r="B3372" s="230" t="s">
        <v>516</v>
      </c>
      <c r="C3372" s="231" t="s">
        <v>112</v>
      </c>
      <c r="D3372" s="401">
        <v>0.6</v>
      </c>
      <c r="E3372" s="959">
        <f>Insumos!C500</f>
        <v>7.0798000000000005</v>
      </c>
      <c r="F3372" s="959"/>
      <c r="G3372" s="958">
        <f>ROUND(D3372*E3372,2)</f>
        <v>4.25</v>
      </c>
      <c r="H3372" s="958"/>
    </row>
    <row r="3373" spans="1:10">
      <c r="A3373" s="398"/>
      <c r="B3373" s="955" t="s">
        <v>536</v>
      </c>
      <c r="C3373" s="955"/>
      <c r="D3373" s="955"/>
      <c r="E3373" s="389"/>
      <c r="F3373" s="409"/>
      <c r="G3373" s="410"/>
      <c r="H3373" s="249">
        <f>SUM(G3368:H3370)</f>
        <v>51.279999999999994</v>
      </c>
    </row>
    <row r="3374" spans="1:10">
      <c r="A3374" s="398"/>
      <c r="B3374" s="955" t="s">
        <v>537</v>
      </c>
      <c r="C3374" s="955"/>
      <c r="D3374" s="955"/>
      <c r="E3374" s="389"/>
      <c r="F3374" s="409"/>
      <c r="G3374" s="410"/>
      <c r="H3374" s="249">
        <f>SUM(G3371:H3372)</f>
        <v>9.4499999999999993</v>
      </c>
    </row>
    <row r="3375" spans="1:10">
      <c r="A3375" s="398"/>
      <c r="B3375" s="955" t="s">
        <v>1937</v>
      </c>
      <c r="C3375" s="955"/>
      <c r="D3375" s="955"/>
      <c r="E3375" s="389"/>
      <c r="F3375" s="409"/>
      <c r="G3375" s="410"/>
      <c r="H3375" s="249">
        <f>SUM(H3373:H3374)</f>
        <v>60.72999999999999</v>
      </c>
    </row>
    <row r="3376" spans="1:10">
      <c r="A3376" s="398"/>
      <c r="B3376" s="955" t="s">
        <v>538</v>
      </c>
      <c r="C3376" s="955"/>
      <c r="D3376" s="955"/>
      <c r="E3376" s="389"/>
      <c r="F3376" s="411" t="s">
        <v>539</v>
      </c>
      <c r="G3376" s="410"/>
      <c r="H3376" s="249">
        <f>ROUND(H3375*F3376,2)</f>
        <v>15.16</v>
      </c>
    </row>
    <row r="3377" spans="1:10">
      <c r="A3377" s="398"/>
      <c r="B3377" s="956" t="s">
        <v>540</v>
      </c>
      <c r="C3377" s="956"/>
      <c r="D3377" s="956"/>
      <c r="E3377" s="740"/>
      <c r="F3377" s="768"/>
      <c r="G3377" s="769"/>
      <c r="H3377" s="770">
        <f>SUM(H3375:H3376)</f>
        <v>75.889999999999986</v>
      </c>
    </row>
    <row r="3378" spans="1:10" s="579" customFormat="1">
      <c r="A3378" s="601"/>
      <c r="B3378" s="780"/>
      <c r="C3378" s="780"/>
      <c r="D3378" s="780"/>
      <c r="E3378" s="740"/>
      <c r="F3378" s="768"/>
      <c r="G3378" s="769"/>
      <c r="H3378" s="770"/>
      <c r="I3378" s="400"/>
      <c r="J3378" s="404"/>
    </row>
    <row r="3379" spans="1:10">
      <c r="A3379" s="403" t="s">
        <v>2578</v>
      </c>
      <c r="B3379" s="960" t="s">
        <v>1565</v>
      </c>
      <c r="C3379" s="960"/>
      <c r="D3379" s="960"/>
      <c r="E3379" s="960"/>
      <c r="F3379" s="960"/>
      <c r="G3379" s="402"/>
      <c r="H3379" s="403" t="s">
        <v>14</v>
      </c>
    </row>
    <row r="3380" spans="1:10">
      <c r="A3380" s="398"/>
      <c r="B3380" s="230" t="s">
        <v>740</v>
      </c>
      <c r="C3380" s="231" t="s">
        <v>14</v>
      </c>
      <c r="D3380" s="437">
        <v>1.0002884615384615</v>
      </c>
      <c r="E3380" s="964">
        <f>Insumos!C501</f>
        <v>99.535799999999995</v>
      </c>
      <c r="F3380" s="964"/>
      <c r="G3380" s="958">
        <f>ROUND(D3380*E3380,2)</f>
        <v>99.56</v>
      </c>
      <c r="H3380" s="958"/>
    </row>
    <row r="3381" spans="1:10">
      <c r="A3381" s="398"/>
      <c r="B3381" s="230" t="s">
        <v>716</v>
      </c>
      <c r="C3381" s="231" t="s">
        <v>14</v>
      </c>
      <c r="D3381" s="437">
        <v>0.05</v>
      </c>
      <c r="E3381" s="964">
        <f>Insumos!C502</f>
        <v>1.365</v>
      </c>
      <c r="F3381" s="964"/>
      <c r="G3381" s="958">
        <f>ROUND(D3381*E3381,2)</f>
        <v>7.0000000000000007E-2</v>
      </c>
      <c r="H3381" s="958"/>
    </row>
    <row r="3382" spans="1:10">
      <c r="A3382" s="398"/>
      <c r="B3382" s="230" t="s">
        <v>704</v>
      </c>
      <c r="C3382" s="231" t="s">
        <v>112</v>
      </c>
      <c r="D3382" s="437">
        <v>1</v>
      </c>
      <c r="E3382" s="959">
        <f>Insumos!C432</f>
        <v>6.4792000000000005</v>
      </c>
      <c r="F3382" s="959"/>
      <c r="G3382" s="958">
        <f>ROUND(D3382*E3382,2)</f>
        <v>6.48</v>
      </c>
      <c r="H3382" s="958"/>
    </row>
    <row r="3383" spans="1:10" s="406" customFormat="1" ht="15">
      <c r="A3383" s="398"/>
      <c r="B3383" s="230" t="s">
        <v>517</v>
      </c>
      <c r="C3383" s="231" t="s">
        <v>112</v>
      </c>
      <c r="D3383" s="437">
        <v>0.92997499999999989</v>
      </c>
      <c r="E3383" s="959">
        <f>Insumos!C504</f>
        <v>8.6722999999999999</v>
      </c>
      <c r="F3383" s="959"/>
      <c r="G3383" s="958">
        <f>ROUND(D3383*E3383,2)</f>
        <v>8.07</v>
      </c>
      <c r="H3383" s="958"/>
      <c r="I3383" s="407"/>
      <c r="J3383" s="408"/>
    </row>
    <row r="3384" spans="1:10">
      <c r="A3384" s="398"/>
      <c r="B3384" s="955" t="s">
        <v>536</v>
      </c>
      <c r="C3384" s="955"/>
      <c r="D3384" s="955"/>
      <c r="E3384" s="389"/>
      <c r="F3384" s="409"/>
      <c r="G3384" s="410"/>
      <c r="H3384" s="249">
        <f>SUM(G3380:H3381)</f>
        <v>99.63</v>
      </c>
    </row>
    <row r="3385" spans="1:10">
      <c r="A3385" s="398"/>
      <c r="B3385" s="955" t="s">
        <v>537</v>
      </c>
      <c r="C3385" s="955"/>
      <c r="D3385" s="955"/>
      <c r="E3385" s="389"/>
      <c r="F3385" s="409"/>
      <c r="G3385" s="410"/>
      <c r="H3385" s="249">
        <f>SUM(G3382:H3383)</f>
        <v>14.55</v>
      </c>
    </row>
    <row r="3386" spans="1:10">
      <c r="A3386" s="398"/>
      <c r="B3386" s="955" t="s">
        <v>1937</v>
      </c>
      <c r="C3386" s="955"/>
      <c r="D3386" s="955"/>
      <c r="E3386" s="389"/>
      <c r="F3386" s="409"/>
      <c r="G3386" s="410"/>
      <c r="H3386" s="249">
        <f>SUM(H3384:H3385)</f>
        <v>114.17999999999999</v>
      </c>
    </row>
    <row r="3387" spans="1:10">
      <c r="A3387" s="398"/>
      <c r="B3387" s="955" t="s">
        <v>538</v>
      </c>
      <c r="C3387" s="955"/>
      <c r="D3387" s="955"/>
      <c r="E3387" s="389"/>
      <c r="F3387" s="411" t="s">
        <v>539</v>
      </c>
      <c r="G3387" s="410"/>
      <c r="H3387" s="249">
        <f>ROUND(H3386*F3387,2)</f>
        <v>28.5</v>
      </c>
    </row>
    <row r="3388" spans="1:10">
      <c r="A3388" s="398"/>
      <c r="B3388" s="956" t="s">
        <v>540</v>
      </c>
      <c r="C3388" s="956"/>
      <c r="D3388" s="956"/>
      <c r="E3388" s="740"/>
      <c r="F3388" s="768"/>
      <c r="G3388" s="769"/>
      <c r="H3388" s="770">
        <f>SUM(H3386:H3387)</f>
        <v>142.68</v>
      </c>
    </row>
    <row r="3389" spans="1:10" s="579" customFormat="1">
      <c r="A3389" s="601"/>
      <c r="B3389" s="780"/>
      <c r="C3389" s="780"/>
      <c r="D3389" s="780"/>
      <c r="E3389" s="740"/>
      <c r="F3389" s="768"/>
      <c r="G3389" s="769"/>
      <c r="H3389" s="770"/>
      <c r="I3389" s="400"/>
      <c r="J3389" s="404"/>
    </row>
    <row r="3390" spans="1:10" ht="27" customHeight="1">
      <c r="A3390" s="403" t="s">
        <v>2579</v>
      </c>
      <c r="B3390" s="961" t="s">
        <v>741</v>
      </c>
      <c r="C3390" s="961"/>
      <c r="D3390" s="961"/>
      <c r="E3390" s="961"/>
      <c r="F3390" s="961"/>
      <c r="G3390" s="402"/>
      <c r="H3390" s="403" t="s">
        <v>14</v>
      </c>
    </row>
    <row r="3391" spans="1:10">
      <c r="A3391" s="398"/>
      <c r="B3391" s="230" t="s">
        <v>716</v>
      </c>
      <c r="C3391" s="231" t="s">
        <v>14</v>
      </c>
      <c r="D3391" s="436">
        <v>0.12</v>
      </c>
      <c r="E3391" s="964">
        <f>Insumos!C505</f>
        <v>1.365</v>
      </c>
      <c r="F3391" s="964"/>
      <c r="G3391" s="958">
        <f>ROUND(D3391*E3391,2)</f>
        <v>0.16</v>
      </c>
      <c r="H3391" s="958"/>
    </row>
    <row r="3392" spans="1:10">
      <c r="A3392" s="398"/>
      <c r="B3392" s="230" t="s">
        <v>742</v>
      </c>
      <c r="C3392" s="231" t="s">
        <v>14</v>
      </c>
      <c r="D3392" s="436">
        <v>0.99968750000000006</v>
      </c>
      <c r="E3392" s="964">
        <f>Insumos!C506</f>
        <v>60.951800000000006</v>
      </c>
      <c r="F3392" s="964"/>
      <c r="G3392" s="958">
        <f>ROUND(D3392*E3392,2)</f>
        <v>60.93</v>
      </c>
      <c r="H3392" s="958"/>
    </row>
    <row r="3393" spans="1:10">
      <c r="A3393" s="398"/>
      <c r="B3393" s="230" t="s">
        <v>517</v>
      </c>
      <c r="C3393" s="231" t="s">
        <v>112</v>
      </c>
      <c r="D3393" s="436">
        <v>0.62585999999999753</v>
      </c>
      <c r="E3393" s="959">
        <f>Insumos!C507</f>
        <v>8.6722999999999999</v>
      </c>
      <c r="F3393" s="959"/>
      <c r="G3393" s="958">
        <f>ROUND(D3393*E3393,2)</f>
        <v>5.43</v>
      </c>
      <c r="H3393" s="958"/>
    </row>
    <row r="3394" spans="1:10">
      <c r="A3394" s="398"/>
      <c r="B3394" s="230" t="s">
        <v>516</v>
      </c>
      <c r="C3394" s="231" t="s">
        <v>112</v>
      </c>
      <c r="D3394" s="436">
        <v>0.61</v>
      </c>
      <c r="E3394" s="959">
        <f>Insumos!C508</f>
        <v>7.0798000000000005</v>
      </c>
      <c r="F3394" s="959"/>
      <c r="G3394" s="958">
        <f>ROUND(D3394*E3394,2)</f>
        <v>4.32</v>
      </c>
      <c r="H3394" s="958"/>
    </row>
    <row r="3395" spans="1:10" s="406" customFormat="1" ht="15">
      <c r="A3395" s="398"/>
      <c r="B3395" s="955" t="s">
        <v>536</v>
      </c>
      <c r="C3395" s="955"/>
      <c r="D3395" s="955"/>
      <c r="E3395" s="389"/>
      <c r="F3395" s="409"/>
      <c r="G3395" s="410"/>
      <c r="H3395" s="249">
        <f>SUM(G3391:H3392)</f>
        <v>61.089999999999996</v>
      </c>
      <c r="I3395" s="407"/>
      <c r="J3395" s="408"/>
    </row>
    <row r="3396" spans="1:10">
      <c r="A3396" s="398"/>
      <c r="B3396" s="955" t="s">
        <v>537</v>
      </c>
      <c r="C3396" s="955"/>
      <c r="D3396" s="955"/>
      <c r="E3396" s="389"/>
      <c r="F3396" s="409"/>
      <c r="G3396" s="410"/>
      <c r="H3396" s="249">
        <f>SUM(G3393:H3394)</f>
        <v>9.75</v>
      </c>
    </row>
    <row r="3397" spans="1:10">
      <c r="A3397" s="398"/>
      <c r="B3397" s="955" t="s">
        <v>1937</v>
      </c>
      <c r="C3397" s="955"/>
      <c r="D3397" s="955"/>
      <c r="E3397" s="389"/>
      <c r="F3397" s="409"/>
      <c r="G3397" s="410"/>
      <c r="H3397" s="249">
        <f>SUM(H3395:H3396)</f>
        <v>70.84</v>
      </c>
    </row>
    <row r="3398" spans="1:10">
      <c r="A3398" s="398"/>
      <c r="B3398" s="955" t="s">
        <v>538</v>
      </c>
      <c r="C3398" s="955"/>
      <c r="D3398" s="955"/>
      <c r="E3398" s="389"/>
      <c r="F3398" s="411" t="s">
        <v>539</v>
      </c>
      <c r="G3398" s="410"/>
      <c r="H3398" s="249">
        <f>ROUND(H3397*F3398,2)</f>
        <v>17.68</v>
      </c>
    </row>
    <row r="3399" spans="1:10">
      <c r="A3399" s="398"/>
      <c r="B3399" s="956" t="s">
        <v>540</v>
      </c>
      <c r="C3399" s="956"/>
      <c r="D3399" s="956"/>
      <c r="E3399" s="740"/>
      <c r="F3399" s="768"/>
      <c r="G3399" s="769"/>
      <c r="H3399" s="770">
        <f>SUM(H3397:H3398)</f>
        <v>88.52000000000001</v>
      </c>
    </row>
    <row r="3400" spans="1:10" s="579" customFormat="1">
      <c r="A3400" s="601"/>
      <c r="B3400" s="780"/>
      <c r="C3400" s="780"/>
      <c r="D3400" s="780"/>
      <c r="E3400" s="740"/>
      <c r="F3400" s="768"/>
      <c r="G3400" s="769"/>
      <c r="H3400" s="770"/>
      <c r="I3400" s="400"/>
      <c r="J3400" s="404"/>
    </row>
    <row r="3401" spans="1:10">
      <c r="A3401" s="403" t="s">
        <v>2580</v>
      </c>
      <c r="B3401" s="961" t="s">
        <v>743</v>
      </c>
      <c r="C3401" s="961"/>
      <c r="D3401" s="961"/>
      <c r="E3401" s="961"/>
      <c r="F3401" s="961"/>
      <c r="G3401" s="402"/>
      <c r="H3401" s="403" t="s">
        <v>14</v>
      </c>
    </row>
    <row r="3402" spans="1:10">
      <c r="A3402" s="398"/>
      <c r="B3402" s="230" t="s">
        <v>744</v>
      </c>
      <c r="C3402" s="231" t="s">
        <v>14</v>
      </c>
      <c r="D3402" s="401">
        <v>0.99980769230769218</v>
      </c>
      <c r="E3402" s="964">
        <f>Insumos!C509</f>
        <v>199.53570000000002</v>
      </c>
      <c r="F3402" s="964"/>
      <c r="G3402" s="958">
        <f>ROUND(D3402*E3402,2)</f>
        <v>199.5</v>
      </c>
      <c r="H3402" s="958"/>
    </row>
    <row r="3403" spans="1:10">
      <c r="A3403" s="398"/>
      <c r="B3403" s="230" t="s">
        <v>716</v>
      </c>
      <c r="C3403" s="231" t="s">
        <v>14</v>
      </c>
      <c r="D3403" s="401">
        <v>0.28999999999999998</v>
      </c>
      <c r="E3403" s="964">
        <v>1.5</v>
      </c>
      <c r="F3403" s="964"/>
      <c r="G3403" s="958">
        <f>ROUND(D3403*E3403,2)</f>
        <v>0.44</v>
      </c>
      <c r="H3403" s="958"/>
    </row>
    <row r="3404" spans="1:10">
      <c r="A3404" s="398"/>
      <c r="B3404" s="230" t="s">
        <v>516</v>
      </c>
      <c r="C3404" s="231" t="s">
        <v>112</v>
      </c>
      <c r="D3404" s="401">
        <v>1.1499999999999999</v>
      </c>
      <c r="E3404" s="959">
        <f>Insumos!C511</f>
        <v>7.0798000000000005</v>
      </c>
      <c r="F3404" s="959"/>
      <c r="G3404" s="958">
        <f>ROUND(D3404*E3404,2)</f>
        <v>8.14</v>
      </c>
      <c r="H3404" s="958"/>
    </row>
    <row r="3405" spans="1:10">
      <c r="A3405" s="398"/>
      <c r="B3405" s="230" t="s">
        <v>517</v>
      </c>
      <c r="C3405" s="231" t="s">
        <v>112</v>
      </c>
      <c r="D3405" s="401">
        <v>1.1499999999999999</v>
      </c>
      <c r="E3405" s="959">
        <f>Insumos!C512</f>
        <v>8.6722999999999999</v>
      </c>
      <c r="F3405" s="959"/>
      <c r="G3405" s="958">
        <f>ROUND(D3405*E3405,2)</f>
        <v>9.9700000000000006</v>
      </c>
      <c r="H3405" s="958"/>
    </row>
    <row r="3406" spans="1:10">
      <c r="A3406" s="398"/>
      <c r="B3406" s="955" t="s">
        <v>536</v>
      </c>
      <c r="C3406" s="955"/>
      <c r="D3406" s="955"/>
      <c r="E3406" s="389"/>
      <c r="F3406" s="409"/>
      <c r="G3406" s="410"/>
      <c r="H3406" s="249">
        <f>SUM(G3402:H3403)</f>
        <v>199.94</v>
      </c>
    </row>
    <row r="3407" spans="1:10" s="406" customFormat="1" ht="15">
      <c r="A3407" s="398"/>
      <c r="B3407" s="955" t="s">
        <v>537</v>
      </c>
      <c r="C3407" s="955"/>
      <c r="D3407" s="955"/>
      <c r="E3407" s="389"/>
      <c r="F3407" s="409"/>
      <c r="G3407" s="410"/>
      <c r="H3407" s="249">
        <f>SUM(G3404:H3405)</f>
        <v>18.11</v>
      </c>
      <c r="I3407" s="407"/>
      <c r="J3407" s="408"/>
    </row>
    <row r="3408" spans="1:10">
      <c r="A3408" s="398"/>
      <c r="B3408" s="955" t="s">
        <v>1937</v>
      </c>
      <c r="C3408" s="955"/>
      <c r="D3408" s="955"/>
      <c r="E3408" s="389"/>
      <c r="F3408" s="409"/>
      <c r="G3408" s="410"/>
      <c r="H3408" s="249">
        <f>SUM(H3406:H3407)</f>
        <v>218.05</v>
      </c>
    </row>
    <row r="3409" spans="1:10">
      <c r="A3409" s="398"/>
      <c r="B3409" s="955" t="s">
        <v>538</v>
      </c>
      <c r="C3409" s="955"/>
      <c r="D3409" s="955"/>
      <c r="E3409" s="389"/>
      <c r="F3409" s="411" t="s">
        <v>539</v>
      </c>
      <c r="G3409" s="410"/>
      <c r="H3409" s="249">
        <f>ROUND(H3408*F3409,2)</f>
        <v>54.43</v>
      </c>
    </row>
    <row r="3410" spans="1:10">
      <c r="A3410" s="398"/>
      <c r="B3410" s="956" t="s">
        <v>540</v>
      </c>
      <c r="C3410" s="956"/>
      <c r="D3410" s="956"/>
      <c r="E3410" s="740"/>
      <c r="F3410" s="768"/>
      <c r="G3410" s="769"/>
      <c r="H3410" s="770">
        <f>SUM(H3408:H3409)</f>
        <v>272.48</v>
      </c>
    </row>
    <row r="3411" spans="1:10" s="579" customFormat="1">
      <c r="A3411" s="601"/>
      <c r="B3411" s="780"/>
      <c r="C3411" s="780"/>
      <c r="D3411" s="780"/>
      <c r="E3411" s="740"/>
      <c r="F3411" s="768"/>
      <c r="G3411" s="769"/>
      <c r="H3411" s="770"/>
      <c r="I3411" s="400"/>
      <c r="J3411" s="404"/>
    </row>
    <row r="3412" spans="1:10" ht="25.9" customHeight="1">
      <c r="A3412" s="403" t="s">
        <v>2581</v>
      </c>
      <c r="B3412" s="961" t="s">
        <v>2038</v>
      </c>
      <c r="C3412" s="961"/>
      <c r="D3412" s="961"/>
      <c r="E3412" s="961"/>
      <c r="F3412" s="961"/>
      <c r="G3412" s="402"/>
      <c r="H3412" s="403" t="s">
        <v>14</v>
      </c>
    </row>
    <row r="3413" spans="1:10">
      <c r="A3413" s="398"/>
      <c r="B3413" s="230" t="s">
        <v>2039</v>
      </c>
      <c r="C3413" s="231" t="s">
        <v>88</v>
      </c>
      <c r="D3413" s="436">
        <v>1</v>
      </c>
      <c r="E3413" s="964">
        <v>125.91</v>
      </c>
      <c r="F3413" s="964"/>
      <c r="G3413" s="958">
        <f>ROUND(D3413*E3413,2)</f>
        <v>125.91</v>
      </c>
      <c r="H3413" s="958"/>
    </row>
    <row r="3414" spans="1:10">
      <c r="A3414" s="398"/>
      <c r="B3414" s="230" t="s">
        <v>1352</v>
      </c>
      <c r="C3414" s="231" t="s">
        <v>88</v>
      </c>
      <c r="D3414" s="436">
        <v>0.01</v>
      </c>
      <c r="E3414" s="964">
        <f>Insumos!C514</f>
        <v>5.9604999999999997</v>
      </c>
      <c r="F3414" s="964"/>
      <c r="G3414" s="958">
        <f>ROUND(D3414*E3414,2)</f>
        <v>0.06</v>
      </c>
      <c r="H3414" s="958"/>
    </row>
    <row r="3415" spans="1:10">
      <c r="A3415" s="398"/>
      <c r="B3415" s="230" t="s">
        <v>517</v>
      </c>
      <c r="C3415" s="231" t="s">
        <v>112</v>
      </c>
      <c r="D3415" s="436">
        <v>0.48</v>
      </c>
      <c r="E3415" s="959">
        <v>8.17</v>
      </c>
      <c r="F3415" s="959"/>
      <c r="G3415" s="958">
        <f>ROUND(D3415*E3415,2)</f>
        <v>3.92</v>
      </c>
      <c r="H3415" s="958"/>
    </row>
    <row r="3416" spans="1:10">
      <c r="A3416" s="398"/>
      <c r="B3416" s="230" t="s">
        <v>509</v>
      </c>
      <c r="C3416" s="231" t="s">
        <v>112</v>
      </c>
      <c r="D3416" s="436">
        <v>0.3</v>
      </c>
      <c r="E3416" s="959">
        <f>Insumos!C516</f>
        <v>6.4064000000000005</v>
      </c>
      <c r="F3416" s="959"/>
      <c r="G3416" s="958">
        <f>ROUND(D3416*E3416,2)</f>
        <v>1.92</v>
      </c>
      <c r="H3416" s="958"/>
    </row>
    <row r="3417" spans="1:10">
      <c r="A3417" s="398"/>
      <c r="B3417" s="955" t="s">
        <v>536</v>
      </c>
      <c r="C3417" s="955"/>
      <c r="D3417" s="955"/>
      <c r="E3417" s="389"/>
      <c r="F3417" s="409"/>
      <c r="G3417" s="410"/>
      <c r="H3417" s="249">
        <f>SUM(G3413:H3414)</f>
        <v>125.97</v>
      </c>
    </row>
    <row r="3418" spans="1:10">
      <c r="A3418" s="398"/>
      <c r="B3418" s="955" t="s">
        <v>537</v>
      </c>
      <c r="C3418" s="955"/>
      <c r="D3418" s="955"/>
      <c r="E3418" s="389"/>
      <c r="F3418" s="409"/>
      <c r="G3418" s="410"/>
      <c r="H3418" s="249">
        <f>SUM(G3415:H3416)</f>
        <v>5.84</v>
      </c>
    </row>
    <row r="3419" spans="1:10">
      <c r="A3419" s="398"/>
      <c r="B3419" s="955" t="s">
        <v>1937</v>
      </c>
      <c r="C3419" s="955"/>
      <c r="D3419" s="955"/>
      <c r="E3419" s="389"/>
      <c r="F3419" s="409"/>
      <c r="G3419" s="410"/>
      <c r="H3419" s="249">
        <f>SUM(H3417:H3418)</f>
        <v>131.81</v>
      </c>
    </row>
    <row r="3420" spans="1:10">
      <c r="A3420" s="398"/>
      <c r="B3420" s="955" t="s">
        <v>538</v>
      </c>
      <c r="C3420" s="955"/>
      <c r="D3420" s="955"/>
      <c r="E3420" s="389"/>
      <c r="F3420" s="411" t="s">
        <v>539</v>
      </c>
      <c r="G3420" s="410"/>
      <c r="H3420" s="249">
        <f>ROUND(H3419*F3420,2)</f>
        <v>32.9</v>
      </c>
    </row>
    <row r="3421" spans="1:10">
      <c r="A3421" s="398"/>
      <c r="B3421" s="956" t="s">
        <v>540</v>
      </c>
      <c r="C3421" s="956"/>
      <c r="D3421" s="956"/>
      <c r="E3421" s="740"/>
      <c r="F3421" s="768"/>
      <c r="G3421" s="769"/>
      <c r="H3421" s="770">
        <f>SUM(H3419:H3420)</f>
        <v>164.71</v>
      </c>
    </row>
    <row r="3422" spans="1:10" s="579" customFormat="1">
      <c r="A3422" s="601"/>
      <c r="B3422" s="780"/>
      <c r="C3422" s="780"/>
      <c r="D3422" s="780"/>
      <c r="E3422" s="740"/>
      <c r="F3422" s="768"/>
      <c r="G3422" s="769"/>
      <c r="H3422" s="770"/>
      <c r="I3422" s="400"/>
      <c r="J3422" s="404"/>
    </row>
    <row r="3423" spans="1:10" s="167" customFormat="1">
      <c r="A3423" s="756">
        <v>20</v>
      </c>
      <c r="B3423" s="975" t="s">
        <v>1892</v>
      </c>
      <c r="C3423" s="975"/>
      <c r="D3423" s="975"/>
      <c r="E3423" s="975"/>
      <c r="F3423" s="975"/>
      <c r="G3423" s="766"/>
      <c r="H3423" s="767"/>
      <c r="I3423" s="326"/>
      <c r="J3423" s="344"/>
    </row>
    <row r="3424" spans="1:10" s="462" customFormat="1" ht="25.15" customHeight="1">
      <c r="A3424" s="403" t="s">
        <v>2582</v>
      </c>
      <c r="B3424" s="961" t="s">
        <v>912</v>
      </c>
      <c r="C3424" s="961"/>
      <c r="D3424" s="961"/>
      <c r="E3424" s="961"/>
      <c r="F3424" s="961"/>
      <c r="G3424" s="402"/>
      <c r="H3424" s="403" t="s">
        <v>88</v>
      </c>
      <c r="I3424" s="400"/>
      <c r="J3424" s="461"/>
    </row>
    <row r="3425" spans="1:10" s="406" customFormat="1" ht="15">
      <c r="A3425" s="398"/>
      <c r="B3425" s="230" t="s">
        <v>590</v>
      </c>
      <c r="C3425" s="231" t="s">
        <v>15</v>
      </c>
      <c r="D3425" s="401">
        <v>1.65795309843719</v>
      </c>
      <c r="E3425" s="959">
        <f>Insumos!C988</f>
        <v>39.2301</v>
      </c>
      <c r="F3425" s="959"/>
      <c r="G3425" s="958">
        <f>ROUND(D3425*E3425,2)</f>
        <v>65.040000000000006</v>
      </c>
      <c r="H3425" s="958"/>
      <c r="I3425" s="407"/>
      <c r="J3425" s="408"/>
    </row>
    <row r="3426" spans="1:10">
      <c r="A3426" s="398"/>
      <c r="B3426" s="230" t="s">
        <v>517</v>
      </c>
      <c r="C3426" s="231" t="s">
        <v>112</v>
      </c>
      <c r="D3426" s="401">
        <v>1</v>
      </c>
      <c r="E3426" s="959">
        <f>Insumos!C989</f>
        <v>8.6722999999999999</v>
      </c>
      <c r="F3426" s="959"/>
      <c r="G3426" s="958">
        <f>ROUND(D3426*E3426,2)</f>
        <v>8.67</v>
      </c>
      <c r="H3426" s="958"/>
    </row>
    <row r="3427" spans="1:10">
      <c r="A3427" s="398"/>
      <c r="B3427" s="230" t="s">
        <v>535</v>
      </c>
      <c r="C3427" s="231" t="s">
        <v>112</v>
      </c>
      <c r="D3427" s="401">
        <v>1</v>
      </c>
      <c r="E3427" s="959">
        <f>Insumos!C990</f>
        <v>6.4064000000000005</v>
      </c>
      <c r="F3427" s="959"/>
      <c r="G3427" s="958">
        <f>ROUND(D3427*E3427,2)</f>
        <v>6.41</v>
      </c>
      <c r="H3427" s="958"/>
    </row>
    <row r="3428" spans="1:10">
      <c r="A3428" s="398"/>
      <c r="B3428" s="955" t="s">
        <v>536</v>
      </c>
      <c r="C3428" s="955"/>
      <c r="D3428" s="955"/>
      <c r="E3428" s="389"/>
      <c r="F3428" s="409"/>
      <c r="G3428" s="410"/>
      <c r="H3428" s="249">
        <f>SUM(G3425)</f>
        <v>65.040000000000006</v>
      </c>
    </row>
    <row r="3429" spans="1:10">
      <c r="A3429" s="398"/>
      <c r="B3429" s="955" t="s">
        <v>537</v>
      </c>
      <c r="C3429" s="955"/>
      <c r="D3429" s="955"/>
      <c r="E3429" s="389"/>
      <c r="F3429" s="409"/>
      <c r="G3429" s="410"/>
      <c r="H3429" s="249">
        <f>SUM(G3426:H3427)</f>
        <v>15.08</v>
      </c>
    </row>
    <row r="3430" spans="1:10">
      <c r="A3430" s="398"/>
      <c r="B3430" s="955" t="s">
        <v>1937</v>
      </c>
      <c r="C3430" s="955"/>
      <c r="D3430" s="955"/>
      <c r="E3430" s="389"/>
      <c r="F3430" s="409"/>
      <c r="G3430" s="410"/>
      <c r="H3430" s="249">
        <f>SUM(H3428:H3429)</f>
        <v>80.12</v>
      </c>
    </row>
    <row r="3431" spans="1:10">
      <c r="A3431" s="398"/>
      <c r="B3431" s="955" t="s">
        <v>538</v>
      </c>
      <c r="C3431" s="955"/>
      <c r="D3431" s="955"/>
      <c r="E3431" s="389"/>
      <c r="F3431" s="411" t="s">
        <v>539</v>
      </c>
      <c r="G3431" s="410"/>
      <c r="H3431" s="249">
        <f t="shared" ref="H3431" si="124">ROUND(H3430*F3431,2)</f>
        <v>20</v>
      </c>
    </row>
    <row r="3432" spans="1:10">
      <c r="A3432" s="398"/>
      <c r="B3432" s="956" t="s">
        <v>540</v>
      </c>
      <c r="C3432" s="956"/>
      <c r="D3432" s="956"/>
      <c r="E3432" s="740"/>
      <c r="F3432" s="768"/>
      <c r="G3432" s="769"/>
      <c r="H3432" s="770">
        <f>SUM(H3430:H3431)</f>
        <v>100.12</v>
      </c>
    </row>
    <row r="3433" spans="1:10" s="579" customFormat="1">
      <c r="A3433" s="601"/>
      <c r="B3433" s="780"/>
      <c r="C3433" s="780"/>
      <c r="D3433" s="780"/>
      <c r="E3433" s="740"/>
      <c r="F3433" s="768"/>
      <c r="G3433" s="769"/>
      <c r="H3433" s="770"/>
      <c r="I3433" s="400"/>
      <c r="J3433" s="404"/>
    </row>
    <row r="3434" spans="1:10">
      <c r="A3434" s="403" t="s">
        <v>2583</v>
      </c>
      <c r="B3434" s="961" t="s">
        <v>913</v>
      </c>
      <c r="C3434" s="961"/>
      <c r="D3434" s="961"/>
      <c r="E3434" s="961"/>
      <c r="F3434" s="961"/>
      <c r="G3434" s="402"/>
      <c r="H3434" s="403" t="s">
        <v>88</v>
      </c>
    </row>
    <row r="3435" spans="1:10" s="406" customFormat="1" ht="15">
      <c r="A3435" s="398"/>
      <c r="B3435" s="230" t="s">
        <v>914</v>
      </c>
      <c r="C3435" s="231" t="s">
        <v>14</v>
      </c>
      <c r="D3435" s="401">
        <v>1</v>
      </c>
      <c r="E3435" s="964">
        <f>Insumos!C991</f>
        <v>52.78</v>
      </c>
      <c r="F3435" s="964"/>
      <c r="G3435" s="958">
        <f>ROUND(D3435*E3435,2)</f>
        <v>52.78</v>
      </c>
      <c r="H3435" s="958"/>
      <c r="I3435" s="407"/>
      <c r="J3435" s="408"/>
    </row>
    <row r="3436" spans="1:10">
      <c r="A3436" s="398"/>
      <c r="B3436" s="230" t="s">
        <v>509</v>
      </c>
      <c r="C3436" s="231" t="s">
        <v>112</v>
      </c>
      <c r="D3436" s="401">
        <v>0.85</v>
      </c>
      <c r="E3436" s="964">
        <f>Insumos!C992</f>
        <v>6.4064000000000005</v>
      </c>
      <c r="F3436" s="964"/>
      <c r="G3436" s="958">
        <f>ROUND(D3436*E3436,2)</f>
        <v>5.45</v>
      </c>
      <c r="H3436" s="958"/>
    </row>
    <row r="3437" spans="1:10">
      <c r="A3437" s="398"/>
      <c r="B3437" s="230" t="s">
        <v>517</v>
      </c>
      <c r="C3437" s="231" t="s">
        <v>112</v>
      </c>
      <c r="D3437" s="401">
        <v>0.85</v>
      </c>
      <c r="E3437" s="964">
        <f>Insumos!C993</f>
        <v>8.6722999999999999</v>
      </c>
      <c r="F3437" s="964"/>
      <c r="G3437" s="958">
        <f>ROUND(D3437*E3437,2)</f>
        <v>7.37</v>
      </c>
      <c r="H3437" s="958"/>
    </row>
    <row r="3438" spans="1:10">
      <c r="A3438" s="398"/>
      <c r="B3438" s="955" t="s">
        <v>536</v>
      </c>
      <c r="C3438" s="955"/>
      <c r="D3438" s="955"/>
      <c r="E3438" s="389"/>
      <c r="F3438" s="409"/>
      <c r="G3438" s="410"/>
      <c r="H3438" s="249">
        <f>SUM(G3435)</f>
        <v>52.78</v>
      </c>
    </row>
    <row r="3439" spans="1:10">
      <c r="A3439" s="398"/>
      <c r="B3439" s="955" t="s">
        <v>537</v>
      </c>
      <c r="C3439" s="955"/>
      <c r="D3439" s="955"/>
      <c r="E3439" s="389"/>
      <c r="F3439" s="409"/>
      <c r="G3439" s="410"/>
      <c r="H3439" s="249">
        <f>SUM(G3436:H3437)</f>
        <v>12.82</v>
      </c>
    </row>
    <row r="3440" spans="1:10">
      <c r="A3440" s="398"/>
      <c r="B3440" s="955" t="s">
        <v>1937</v>
      </c>
      <c r="C3440" s="955"/>
      <c r="D3440" s="955"/>
      <c r="E3440" s="389"/>
      <c r="F3440" s="409"/>
      <c r="G3440" s="410"/>
      <c r="H3440" s="249">
        <f>SUM(H3438:H3439)</f>
        <v>65.599999999999994</v>
      </c>
    </row>
    <row r="3441" spans="1:10">
      <c r="A3441" s="398"/>
      <c r="B3441" s="955" t="s">
        <v>538</v>
      </c>
      <c r="C3441" s="955"/>
      <c r="D3441" s="955"/>
      <c r="E3441" s="389"/>
      <c r="F3441" s="411" t="s">
        <v>539</v>
      </c>
      <c r="G3441" s="410"/>
      <c r="H3441" s="249">
        <f t="shared" ref="H3441" si="125">ROUND(H3440*F3441,2)</f>
        <v>16.37</v>
      </c>
    </row>
    <row r="3442" spans="1:10">
      <c r="A3442" s="398"/>
      <c r="B3442" s="956" t="s">
        <v>540</v>
      </c>
      <c r="C3442" s="956"/>
      <c r="D3442" s="956"/>
      <c r="E3442" s="740"/>
      <c r="F3442" s="768"/>
      <c r="G3442" s="769"/>
      <c r="H3442" s="770">
        <f>SUM(H3440:H3441)</f>
        <v>81.97</v>
      </c>
    </row>
    <row r="3443" spans="1:10" s="579" customFormat="1">
      <c r="A3443" s="601"/>
      <c r="B3443" s="780"/>
      <c r="C3443" s="780"/>
      <c r="D3443" s="780"/>
      <c r="E3443" s="740"/>
      <c r="F3443" s="768"/>
      <c r="G3443" s="769"/>
      <c r="H3443" s="770"/>
      <c r="I3443" s="400"/>
      <c r="J3443" s="404"/>
    </row>
    <row r="3444" spans="1:10">
      <c r="A3444" s="403" t="s">
        <v>2584</v>
      </c>
      <c r="B3444" s="961" t="s">
        <v>915</v>
      </c>
      <c r="C3444" s="961"/>
      <c r="D3444" s="961"/>
      <c r="E3444" s="961"/>
      <c r="F3444" s="961"/>
      <c r="G3444" s="402"/>
      <c r="H3444" s="403" t="s">
        <v>88</v>
      </c>
    </row>
    <row r="3445" spans="1:10">
      <c r="A3445" s="398"/>
      <c r="B3445" s="230" t="s">
        <v>916</v>
      </c>
      <c r="C3445" s="231" t="s">
        <v>14</v>
      </c>
      <c r="D3445" s="401">
        <v>0.99954545454545451</v>
      </c>
      <c r="E3445" s="959">
        <f>Insumos!C994</f>
        <v>43.652700000000003</v>
      </c>
      <c r="F3445" s="959"/>
      <c r="G3445" s="958">
        <f>ROUND(D3445*E3445,2)</f>
        <v>43.63</v>
      </c>
      <c r="H3445" s="958"/>
    </row>
    <row r="3446" spans="1:10" s="406" customFormat="1" ht="15">
      <c r="A3446" s="398"/>
      <c r="B3446" s="230" t="s">
        <v>509</v>
      </c>
      <c r="C3446" s="231" t="s">
        <v>112</v>
      </c>
      <c r="D3446" s="401">
        <v>0.75</v>
      </c>
      <c r="E3446" s="959">
        <f>Insumos!C995</f>
        <v>6.4064000000000005</v>
      </c>
      <c r="F3446" s="959"/>
      <c r="G3446" s="958">
        <f>ROUND(D3446*E3446,2)</f>
        <v>4.8</v>
      </c>
      <c r="H3446" s="958"/>
      <c r="I3446" s="407"/>
      <c r="J3446" s="408"/>
    </row>
    <row r="3447" spans="1:10">
      <c r="A3447" s="398"/>
      <c r="B3447" s="230" t="s">
        <v>517</v>
      </c>
      <c r="C3447" s="231" t="s">
        <v>112</v>
      </c>
      <c r="D3447" s="401">
        <v>0.75</v>
      </c>
      <c r="E3447" s="959">
        <f>Insumos!C996</f>
        <v>8.6722999999999999</v>
      </c>
      <c r="F3447" s="959"/>
      <c r="G3447" s="958">
        <f>ROUND(D3447*E3447,2)</f>
        <v>6.5</v>
      </c>
      <c r="H3447" s="958"/>
    </row>
    <row r="3448" spans="1:10">
      <c r="A3448" s="398"/>
      <c r="B3448" s="955" t="s">
        <v>536</v>
      </c>
      <c r="C3448" s="955"/>
      <c r="D3448" s="955"/>
      <c r="E3448" s="389"/>
      <c r="F3448" s="409"/>
      <c r="G3448" s="410"/>
      <c r="H3448" s="249">
        <f>SUM(G3445)</f>
        <v>43.63</v>
      </c>
    </row>
    <row r="3449" spans="1:10">
      <c r="A3449" s="398"/>
      <c r="B3449" s="955" t="s">
        <v>537</v>
      </c>
      <c r="C3449" s="955"/>
      <c r="D3449" s="955"/>
      <c r="E3449" s="389"/>
      <c r="F3449" s="409"/>
      <c r="G3449" s="410"/>
      <c r="H3449" s="249">
        <f>SUM(G3446:H3447)</f>
        <v>11.3</v>
      </c>
    </row>
    <row r="3450" spans="1:10">
      <c r="A3450" s="398"/>
      <c r="B3450" s="955" t="s">
        <v>1937</v>
      </c>
      <c r="C3450" s="955"/>
      <c r="D3450" s="955"/>
      <c r="E3450" s="389"/>
      <c r="F3450" s="409"/>
      <c r="G3450" s="410"/>
      <c r="H3450" s="249">
        <f>SUM(H3448:H3449)</f>
        <v>54.930000000000007</v>
      </c>
    </row>
    <row r="3451" spans="1:10">
      <c r="A3451" s="398"/>
      <c r="B3451" s="955" t="s">
        <v>538</v>
      </c>
      <c r="C3451" s="955"/>
      <c r="D3451" s="955"/>
      <c r="E3451" s="389"/>
      <c r="F3451" s="411" t="s">
        <v>539</v>
      </c>
      <c r="G3451" s="410"/>
      <c r="H3451" s="249">
        <f t="shared" ref="H3451" si="126">ROUND(H3450*F3451,2)</f>
        <v>13.71</v>
      </c>
    </row>
    <row r="3452" spans="1:10">
      <c r="A3452" s="398"/>
      <c r="B3452" s="956" t="s">
        <v>540</v>
      </c>
      <c r="C3452" s="956"/>
      <c r="D3452" s="956"/>
      <c r="E3452" s="740"/>
      <c r="F3452" s="768"/>
      <c r="G3452" s="769"/>
      <c r="H3452" s="770">
        <f>SUM(H3450:H3451)</f>
        <v>68.640000000000015</v>
      </c>
    </row>
    <row r="3453" spans="1:10" s="579" customFormat="1">
      <c r="A3453" s="601"/>
      <c r="B3453" s="780"/>
      <c r="C3453" s="780"/>
      <c r="D3453" s="780"/>
      <c r="E3453" s="740"/>
      <c r="F3453" s="768"/>
      <c r="G3453" s="769"/>
      <c r="H3453" s="770"/>
      <c r="I3453" s="400"/>
      <c r="J3453" s="404"/>
    </row>
    <row r="3454" spans="1:10">
      <c r="A3454" s="403" t="s">
        <v>2585</v>
      </c>
      <c r="B3454" s="961" t="s">
        <v>398</v>
      </c>
      <c r="C3454" s="961"/>
      <c r="D3454" s="961"/>
      <c r="E3454" s="961"/>
      <c r="F3454" s="961"/>
      <c r="G3454" s="402"/>
      <c r="H3454" s="403" t="s">
        <v>88</v>
      </c>
    </row>
    <row r="3455" spans="1:10">
      <c r="A3455" s="398"/>
      <c r="B3455" s="230" t="s">
        <v>917</v>
      </c>
      <c r="C3455" s="231" t="s">
        <v>14</v>
      </c>
      <c r="D3455" s="401">
        <v>0.99967741935483878</v>
      </c>
      <c r="E3455" s="959">
        <f>Insumos!C997</f>
        <v>30.5305</v>
      </c>
      <c r="F3455" s="959"/>
      <c r="G3455" s="958">
        <f>ROUND(D3455*E3455,2)</f>
        <v>30.52</v>
      </c>
      <c r="H3455" s="958"/>
    </row>
    <row r="3456" spans="1:10">
      <c r="A3456" s="398"/>
      <c r="B3456" s="230" t="s">
        <v>509</v>
      </c>
      <c r="C3456" s="231" t="s">
        <v>112</v>
      </c>
      <c r="D3456" s="401">
        <v>0.36</v>
      </c>
      <c r="E3456" s="959">
        <f>Insumos!C998</f>
        <v>6.4064000000000005</v>
      </c>
      <c r="F3456" s="959"/>
      <c r="G3456" s="958">
        <f>ROUND(D3456*E3456,2)</f>
        <v>2.31</v>
      </c>
      <c r="H3456" s="958"/>
    </row>
    <row r="3457" spans="1:10">
      <c r="A3457" s="398"/>
      <c r="B3457" s="230" t="s">
        <v>517</v>
      </c>
      <c r="C3457" s="231" t="s">
        <v>112</v>
      </c>
      <c r="D3457" s="401">
        <v>0.36</v>
      </c>
      <c r="E3457" s="959">
        <f>Insumos!C999</f>
        <v>8.6722999999999999</v>
      </c>
      <c r="F3457" s="959"/>
      <c r="G3457" s="958">
        <f>ROUND(D3457*E3457,2)</f>
        <v>3.12</v>
      </c>
      <c r="H3457" s="958"/>
    </row>
    <row r="3458" spans="1:10">
      <c r="A3458" s="398"/>
      <c r="B3458" s="955" t="s">
        <v>536</v>
      </c>
      <c r="C3458" s="955"/>
      <c r="D3458" s="955"/>
      <c r="E3458" s="389"/>
      <c r="F3458" s="409"/>
      <c r="G3458" s="410"/>
      <c r="H3458" s="249">
        <f>SUM(G3455)</f>
        <v>30.52</v>
      </c>
    </row>
    <row r="3459" spans="1:10" s="406" customFormat="1" ht="15">
      <c r="A3459" s="398"/>
      <c r="B3459" s="955" t="s">
        <v>537</v>
      </c>
      <c r="C3459" s="955"/>
      <c r="D3459" s="955"/>
      <c r="E3459" s="389"/>
      <c r="F3459" s="409"/>
      <c r="G3459" s="410"/>
      <c r="H3459" s="249">
        <f>SUM(G3456:H3457)</f>
        <v>5.43</v>
      </c>
      <c r="I3459" s="407"/>
      <c r="J3459" s="408"/>
    </row>
    <row r="3460" spans="1:10">
      <c r="A3460" s="398"/>
      <c r="B3460" s="955" t="s">
        <v>1937</v>
      </c>
      <c r="C3460" s="955"/>
      <c r="D3460" s="955"/>
      <c r="E3460" s="389"/>
      <c r="F3460" s="409"/>
      <c r="G3460" s="410"/>
      <c r="H3460" s="249">
        <f>SUM(H3458:H3459)</f>
        <v>35.950000000000003</v>
      </c>
    </row>
    <row r="3461" spans="1:10">
      <c r="A3461" s="398"/>
      <c r="B3461" s="955" t="s">
        <v>538</v>
      </c>
      <c r="C3461" s="955"/>
      <c r="D3461" s="955"/>
      <c r="E3461" s="389"/>
      <c r="F3461" s="411" t="s">
        <v>539</v>
      </c>
      <c r="G3461" s="410"/>
      <c r="H3461" s="249">
        <f t="shared" ref="H3461" si="127">ROUND(H3460*F3461,2)</f>
        <v>8.9700000000000006</v>
      </c>
    </row>
    <row r="3462" spans="1:10">
      <c r="A3462" s="398"/>
      <c r="B3462" s="956" t="s">
        <v>540</v>
      </c>
      <c r="C3462" s="956"/>
      <c r="D3462" s="956"/>
      <c r="E3462" s="740"/>
      <c r="F3462" s="768"/>
      <c r="G3462" s="769"/>
      <c r="H3462" s="770">
        <f>SUM(H3460:H3461)</f>
        <v>44.92</v>
      </c>
    </row>
    <row r="3463" spans="1:10" s="579" customFormat="1">
      <c r="A3463" s="601"/>
      <c r="B3463" s="780"/>
      <c r="C3463" s="780"/>
      <c r="D3463" s="780"/>
      <c r="E3463" s="740"/>
      <c r="F3463" s="768"/>
      <c r="G3463" s="769"/>
      <c r="H3463" s="770"/>
      <c r="I3463" s="400"/>
      <c r="J3463" s="404"/>
    </row>
    <row r="3464" spans="1:10">
      <c r="A3464" s="403" t="s">
        <v>2586</v>
      </c>
      <c r="B3464" s="960" t="s">
        <v>1440</v>
      </c>
      <c r="C3464" s="960"/>
      <c r="D3464" s="960"/>
      <c r="E3464" s="960"/>
      <c r="F3464" s="960"/>
      <c r="G3464" s="446"/>
      <c r="H3464" s="444" t="s">
        <v>88</v>
      </c>
    </row>
    <row r="3465" spans="1:10" ht="22.5">
      <c r="A3465" s="447"/>
      <c r="B3465" s="449" t="s">
        <v>1441</v>
      </c>
      <c r="C3465" s="448" t="s">
        <v>14</v>
      </c>
      <c r="D3465" s="457">
        <v>1</v>
      </c>
      <c r="E3465" s="974">
        <f>Insumos!C1000</f>
        <v>494.66690000000006</v>
      </c>
      <c r="F3465" s="974"/>
      <c r="G3465" s="976">
        <f>ROUND(D3465*E3465,2)</f>
        <v>494.67</v>
      </c>
      <c r="H3465" s="976"/>
    </row>
    <row r="3466" spans="1:10">
      <c r="A3466" s="447"/>
      <c r="B3466" s="449" t="s">
        <v>1442</v>
      </c>
      <c r="C3466" s="448" t="s">
        <v>112</v>
      </c>
      <c r="D3466" s="457">
        <v>1</v>
      </c>
      <c r="E3466" s="974">
        <f>Insumos!C1001</f>
        <v>377.37700000000001</v>
      </c>
      <c r="F3466" s="974"/>
      <c r="G3466" s="976">
        <f>ROUND(D3466*E3466,2)</f>
        <v>377.38</v>
      </c>
      <c r="H3466" s="976"/>
    </row>
    <row r="3467" spans="1:10">
      <c r="A3467" s="447"/>
      <c r="B3467" s="970" t="s">
        <v>536</v>
      </c>
      <c r="C3467" s="970"/>
      <c r="D3467" s="970"/>
      <c r="E3467" s="450"/>
      <c r="F3467" s="451"/>
      <c r="G3467" s="452"/>
      <c r="H3467" s="453">
        <f>SUM(G3465:H3466)</f>
        <v>872.05</v>
      </c>
    </row>
    <row r="3468" spans="1:10">
      <c r="A3468" s="447"/>
      <c r="B3468" s="970" t="s">
        <v>537</v>
      </c>
      <c r="C3468" s="970"/>
      <c r="D3468" s="970"/>
      <c r="E3468" s="450"/>
      <c r="F3468" s="451"/>
      <c r="G3468" s="452"/>
      <c r="H3468" s="453"/>
    </row>
    <row r="3469" spans="1:10">
      <c r="A3469" s="447"/>
      <c r="B3469" s="970" t="s">
        <v>1937</v>
      </c>
      <c r="C3469" s="970"/>
      <c r="D3469" s="970"/>
      <c r="E3469" s="450"/>
      <c r="F3469" s="451"/>
      <c r="G3469" s="452"/>
      <c r="H3469" s="453">
        <f>SUM(H3467:H3468)</f>
        <v>872.05</v>
      </c>
    </row>
    <row r="3470" spans="1:10">
      <c r="A3470" s="447"/>
      <c r="B3470" s="970" t="s">
        <v>538</v>
      </c>
      <c r="C3470" s="970"/>
      <c r="D3470" s="970"/>
      <c r="E3470" s="450"/>
      <c r="F3470" s="454" t="s">
        <v>539</v>
      </c>
      <c r="G3470" s="452"/>
      <c r="H3470" s="453">
        <f t="shared" ref="H3470" si="128">ROUND(H3469*F3470,2)</f>
        <v>217.66</v>
      </c>
    </row>
    <row r="3471" spans="1:10">
      <c r="A3471" s="447"/>
      <c r="B3471" s="972" t="s">
        <v>540</v>
      </c>
      <c r="C3471" s="972"/>
      <c r="D3471" s="972"/>
      <c r="E3471" s="781"/>
      <c r="F3471" s="782"/>
      <c r="G3471" s="783"/>
      <c r="H3471" s="784">
        <f>SUM(H3469:H3470)</f>
        <v>1089.71</v>
      </c>
    </row>
    <row r="3472" spans="1:10" s="579" customFormat="1">
      <c r="A3472" s="447"/>
      <c r="B3472" s="797"/>
      <c r="C3472" s="797"/>
      <c r="D3472" s="797"/>
      <c r="E3472" s="781"/>
      <c r="F3472" s="782"/>
      <c r="G3472" s="783"/>
      <c r="H3472" s="784"/>
      <c r="I3472" s="400"/>
      <c r="J3472" s="404"/>
    </row>
    <row r="3473" spans="1:10" ht="40.5" customHeight="1">
      <c r="A3473" s="403" t="s">
        <v>2587</v>
      </c>
      <c r="B3473" s="961" t="s">
        <v>919</v>
      </c>
      <c r="C3473" s="961"/>
      <c r="D3473" s="961"/>
      <c r="E3473" s="961"/>
      <c r="F3473" s="961"/>
      <c r="G3473" s="402"/>
      <c r="H3473" s="403" t="s">
        <v>88</v>
      </c>
    </row>
    <row r="3474" spans="1:10" ht="32.1" customHeight="1">
      <c r="A3474" s="398"/>
      <c r="B3474" s="230" t="s">
        <v>920</v>
      </c>
      <c r="C3474" s="231" t="s">
        <v>14</v>
      </c>
      <c r="D3474" s="401">
        <v>1</v>
      </c>
      <c r="E3474" s="964">
        <f>Insumos!C1002</f>
        <v>34.616399999999999</v>
      </c>
      <c r="F3474" s="964"/>
      <c r="G3474" s="958">
        <f t="shared" ref="G3474:G3482" si="129">ROUND(D3474*E3474,2)</f>
        <v>34.619999999999997</v>
      </c>
      <c r="H3474" s="958"/>
    </row>
    <row r="3475" spans="1:10" ht="32.1" customHeight="1">
      <c r="A3475" s="398"/>
      <c r="B3475" s="230" t="s">
        <v>921</v>
      </c>
      <c r="C3475" s="231" t="s">
        <v>14</v>
      </c>
      <c r="D3475" s="401">
        <v>1</v>
      </c>
      <c r="E3475" s="964">
        <f>Insumos!C1003</f>
        <v>25.734800000000003</v>
      </c>
      <c r="F3475" s="964"/>
      <c r="G3475" s="958">
        <f t="shared" si="129"/>
        <v>25.73</v>
      </c>
      <c r="H3475" s="958"/>
    </row>
    <row r="3476" spans="1:10" ht="32.1" customHeight="1">
      <c r="A3476" s="398"/>
      <c r="B3476" s="230" t="s">
        <v>922</v>
      </c>
      <c r="C3476" s="231" t="s">
        <v>14</v>
      </c>
      <c r="D3476" s="401">
        <v>1</v>
      </c>
      <c r="E3476" s="964">
        <f>Insumos!C1004</f>
        <v>52.397800000000004</v>
      </c>
      <c r="F3476" s="964"/>
      <c r="G3476" s="958">
        <f t="shared" si="129"/>
        <v>52.4</v>
      </c>
      <c r="H3476" s="958"/>
    </row>
    <row r="3477" spans="1:10" ht="32.1" customHeight="1">
      <c r="A3477" s="398"/>
      <c r="B3477" s="230" t="s">
        <v>923</v>
      </c>
      <c r="C3477" s="231" t="s">
        <v>14</v>
      </c>
      <c r="D3477" s="401">
        <v>1</v>
      </c>
      <c r="E3477" s="964">
        <f>Insumos!C1005</f>
        <v>98.28</v>
      </c>
      <c r="F3477" s="964"/>
      <c r="G3477" s="958">
        <f t="shared" si="129"/>
        <v>98.28</v>
      </c>
      <c r="H3477" s="958"/>
    </row>
    <row r="3478" spans="1:10" ht="32.1" customHeight="1">
      <c r="A3478" s="398"/>
      <c r="B3478" s="230" t="s">
        <v>924</v>
      </c>
      <c r="C3478" s="231" t="s">
        <v>14</v>
      </c>
      <c r="D3478" s="401">
        <v>1</v>
      </c>
      <c r="E3478" s="964">
        <f>Insumos!C1006</f>
        <v>215.67910000000001</v>
      </c>
      <c r="F3478" s="964"/>
      <c r="G3478" s="958">
        <f t="shared" si="129"/>
        <v>215.68</v>
      </c>
      <c r="H3478" s="958"/>
    </row>
    <row r="3479" spans="1:10" ht="32.1" customHeight="1">
      <c r="A3479" s="398"/>
      <c r="B3479" s="230" t="s">
        <v>925</v>
      </c>
      <c r="C3479" s="231"/>
      <c r="D3479" s="401">
        <v>1</v>
      </c>
      <c r="E3479" s="964">
        <f>Insumos!C1007</f>
        <v>259.82319999999999</v>
      </c>
      <c r="F3479" s="964"/>
      <c r="G3479" s="958">
        <f>ROUND(D3479*F3479,2)</f>
        <v>0</v>
      </c>
      <c r="H3479" s="958"/>
    </row>
    <row r="3480" spans="1:10" s="406" customFormat="1" ht="15">
      <c r="A3480" s="398"/>
      <c r="B3480" s="230" t="s">
        <v>509</v>
      </c>
      <c r="C3480" s="231" t="s">
        <v>112</v>
      </c>
      <c r="D3480" s="401">
        <v>4</v>
      </c>
      <c r="E3480" s="964">
        <f>Insumos!C1008</f>
        <v>6.4064000000000005</v>
      </c>
      <c r="F3480" s="964"/>
      <c r="G3480" s="958">
        <f>ROUND(D3480*E3480,2)</f>
        <v>25.63</v>
      </c>
      <c r="H3480" s="958"/>
      <c r="I3480" s="407"/>
      <c r="J3480" s="408"/>
    </row>
    <row r="3481" spans="1:10">
      <c r="A3481" s="398"/>
      <c r="B3481" s="230" t="s">
        <v>517</v>
      </c>
      <c r="C3481" s="231" t="s">
        <v>112</v>
      </c>
      <c r="D3481" s="401">
        <v>4</v>
      </c>
      <c r="E3481" s="964">
        <f>Insumos!C1009</f>
        <v>8.6722999999999999</v>
      </c>
      <c r="F3481" s="964"/>
      <c r="G3481" s="958">
        <f t="shared" si="129"/>
        <v>34.69</v>
      </c>
      <c r="H3481" s="958"/>
    </row>
    <row r="3482" spans="1:10">
      <c r="A3482" s="398"/>
      <c r="B3482" s="230" t="s">
        <v>508</v>
      </c>
      <c r="C3482" s="231" t="s">
        <v>112</v>
      </c>
      <c r="D3482" s="401">
        <v>1.3</v>
      </c>
      <c r="E3482" s="964">
        <f>Insumos!C1010</f>
        <v>8.6722999999999999</v>
      </c>
      <c r="F3482" s="964"/>
      <c r="G3482" s="958">
        <f t="shared" si="129"/>
        <v>11.27</v>
      </c>
      <c r="H3482" s="958"/>
    </row>
    <row r="3483" spans="1:10">
      <c r="A3483" s="398"/>
      <c r="B3483" s="955" t="s">
        <v>536</v>
      </c>
      <c r="C3483" s="955"/>
      <c r="D3483" s="955"/>
      <c r="E3483" s="389"/>
      <c r="F3483" s="409"/>
      <c r="G3483" s="410"/>
      <c r="H3483" s="249">
        <f>SUM(G3474:H3479)</f>
        <v>426.71000000000004</v>
      </c>
    </row>
    <row r="3484" spans="1:10">
      <c r="A3484" s="398"/>
      <c r="B3484" s="955" t="s">
        <v>537</v>
      </c>
      <c r="C3484" s="955"/>
      <c r="D3484" s="955"/>
      <c r="E3484" s="389"/>
      <c r="F3484" s="409"/>
      <c r="G3484" s="410"/>
      <c r="H3484" s="249">
        <f>SUM(G3480:H3482)</f>
        <v>71.589999999999989</v>
      </c>
    </row>
    <row r="3485" spans="1:10">
      <c r="A3485" s="398"/>
      <c r="B3485" s="955" t="s">
        <v>1937</v>
      </c>
      <c r="C3485" s="955"/>
      <c r="D3485" s="955"/>
      <c r="E3485" s="389"/>
      <c r="F3485" s="409"/>
      <c r="G3485" s="410"/>
      <c r="H3485" s="249">
        <f>SUM(H3483:H3484)</f>
        <v>498.3</v>
      </c>
    </row>
    <row r="3486" spans="1:10">
      <c r="A3486" s="398"/>
      <c r="B3486" s="955" t="s">
        <v>538</v>
      </c>
      <c r="C3486" s="955"/>
      <c r="D3486" s="955"/>
      <c r="E3486" s="389"/>
      <c r="F3486" s="411" t="s">
        <v>539</v>
      </c>
      <c r="G3486" s="410"/>
      <c r="H3486" s="249">
        <f t="shared" ref="H3486" si="130">ROUND(H3485*F3486,2)</f>
        <v>124.38</v>
      </c>
    </row>
    <row r="3487" spans="1:10">
      <c r="A3487" s="398"/>
      <c r="B3487" s="956" t="s">
        <v>540</v>
      </c>
      <c r="C3487" s="956"/>
      <c r="D3487" s="956"/>
      <c r="E3487" s="740"/>
      <c r="F3487" s="768"/>
      <c r="G3487" s="769"/>
      <c r="H3487" s="770">
        <f>SUM(H3485:H3486)</f>
        <v>622.68000000000006</v>
      </c>
    </row>
    <row r="3488" spans="1:10" s="579" customFormat="1">
      <c r="A3488" s="601"/>
      <c r="B3488" s="780"/>
      <c r="C3488" s="780"/>
      <c r="D3488" s="780"/>
      <c r="E3488" s="740"/>
      <c r="F3488" s="768"/>
      <c r="G3488" s="769"/>
      <c r="H3488" s="770"/>
      <c r="I3488" s="400"/>
      <c r="J3488" s="404"/>
    </row>
    <row r="3489" spans="1:10" s="406" customFormat="1" ht="15">
      <c r="A3489" s="403" t="s">
        <v>2588</v>
      </c>
      <c r="B3489" s="961" t="s">
        <v>926</v>
      </c>
      <c r="C3489" s="961"/>
      <c r="D3489" s="961"/>
      <c r="E3489" s="961"/>
      <c r="F3489" s="961"/>
      <c r="G3489" s="402"/>
      <c r="H3489" s="403" t="s">
        <v>88</v>
      </c>
      <c r="I3489" s="407"/>
      <c r="J3489" s="408"/>
    </row>
    <row r="3490" spans="1:10">
      <c r="A3490" s="398"/>
      <c r="B3490" s="230" t="s">
        <v>927</v>
      </c>
      <c r="C3490" s="231" t="s">
        <v>14</v>
      </c>
      <c r="D3490" s="401">
        <v>1</v>
      </c>
      <c r="E3490" s="959">
        <f>Insumos!C1011</f>
        <v>24.024000000000001</v>
      </c>
      <c r="F3490" s="959"/>
      <c r="G3490" s="958">
        <f>ROUND(D3490*E3490,2)</f>
        <v>24.02</v>
      </c>
      <c r="H3490" s="958"/>
    </row>
    <row r="3491" spans="1:10">
      <c r="A3491" s="398"/>
      <c r="B3491" s="230" t="s">
        <v>509</v>
      </c>
      <c r="C3491" s="231" t="s">
        <v>112</v>
      </c>
      <c r="D3491" s="401">
        <v>0.4</v>
      </c>
      <c r="E3491" s="959">
        <f>Insumos!C1012</f>
        <v>6.4064000000000005</v>
      </c>
      <c r="F3491" s="959"/>
      <c r="G3491" s="958">
        <f>ROUND(D3491*E3491,2)</f>
        <v>2.56</v>
      </c>
      <c r="H3491" s="958"/>
    </row>
    <row r="3492" spans="1:10">
      <c r="A3492" s="398"/>
      <c r="B3492" s="230" t="s">
        <v>517</v>
      </c>
      <c r="C3492" s="231" t="s">
        <v>112</v>
      </c>
      <c r="D3492" s="401">
        <v>0.4</v>
      </c>
      <c r="E3492" s="959">
        <f>Insumos!C1013</f>
        <v>8.6722999999999999</v>
      </c>
      <c r="F3492" s="959"/>
      <c r="G3492" s="958">
        <f>ROUND(D3492*E3492,2)</f>
        <v>3.47</v>
      </c>
      <c r="H3492" s="958"/>
    </row>
    <row r="3493" spans="1:10">
      <c r="A3493" s="398"/>
      <c r="B3493" s="955" t="s">
        <v>536</v>
      </c>
      <c r="C3493" s="955"/>
      <c r="D3493" s="955"/>
      <c r="E3493" s="389"/>
      <c r="F3493" s="409"/>
      <c r="G3493" s="410"/>
      <c r="H3493" s="249">
        <f>SUM(G3490)</f>
        <v>24.02</v>
      </c>
    </row>
    <row r="3494" spans="1:10">
      <c r="A3494" s="398"/>
      <c r="B3494" s="955" t="s">
        <v>537</v>
      </c>
      <c r="C3494" s="955"/>
      <c r="D3494" s="955"/>
      <c r="E3494" s="389"/>
      <c r="F3494" s="409"/>
      <c r="G3494" s="410"/>
      <c r="H3494" s="249">
        <f>SUM(G3491:H3492)</f>
        <v>6.03</v>
      </c>
    </row>
    <row r="3495" spans="1:10">
      <c r="A3495" s="398"/>
      <c r="B3495" s="955" t="s">
        <v>1937</v>
      </c>
      <c r="C3495" s="955"/>
      <c r="D3495" s="955"/>
      <c r="E3495" s="389"/>
      <c r="F3495" s="409"/>
      <c r="G3495" s="410"/>
      <c r="H3495" s="249">
        <f>SUM(H3493:H3494)</f>
        <v>30.05</v>
      </c>
    </row>
    <row r="3496" spans="1:10">
      <c r="A3496" s="398"/>
      <c r="B3496" s="955" t="s">
        <v>538</v>
      </c>
      <c r="C3496" s="955"/>
      <c r="D3496" s="955"/>
      <c r="E3496" s="389"/>
      <c r="F3496" s="411" t="s">
        <v>539</v>
      </c>
      <c r="G3496" s="410"/>
      <c r="H3496" s="249">
        <f t="shared" ref="H3496" si="131">ROUND(H3495*F3496,2)</f>
        <v>7.5</v>
      </c>
    </row>
    <row r="3497" spans="1:10">
      <c r="A3497" s="398"/>
      <c r="B3497" s="956" t="s">
        <v>540</v>
      </c>
      <c r="C3497" s="956"/>
      <c r="D3497" s="956"/>
      <c r="E3497" s="740"/>
      <c r="F3497" s="768"/>
      <c r="G3497" s="769"/>
      <c r="H3497" s="770">
        <f>SUM(H3495:H3496)</f>
        <v>37.549999999999997</v>
      </c>
    </row>
    <row r="3498" spans="1:10" s="579" customFormat="1">
      <c r="A3498" s="601"/>
      <c r="B3498" s="780"/>
      <c r="C3498" s="780"/>
      <c r="D3498" s="780"/>
      <c r="E3498" s="740"/>
      <c r="F3498" s="768"/>
      <c r="G3498" s="769"/>
      <c r="H3498" s="770"/>
      <c r="I3498" s="400"/>
      <c r="J3498" s="404"/>
    </row>
    <row r="3499" spans="1:10">
      <c r="A3499" s="403" t="s">
        <v>2589</v>
      </c>
      <c r="B3499" s="961" t="s">
        <v>928</v>
      </c>
      <c r="C3499" s="961"/>
      <c r="D3499" s="961"/>
      <c r="E3499" s="961"/>
      <c r="F3499" s="961"/>
      <c r="G3499" s="402"/>
      <c r="H3499" s="403" t="s">
        <v>88</v>
      </c>
    </row>
    <row r="3500" spans="1:10" ht="22.5">
      <c r="A3500" s="398"/>
      <c r="B3500" s="230" t="s">
        <v>929</v>
      </c>
      <c r="C3500" s="231" t="s">
        <v>14</v>
      </c>
      <c r="D3500" s="401">
        <v>1</v>
      </c>
      <c r="E3500" s="959">
        <f>Insumos!C1014</f>
        <v>25.252500000000001</v>
      </c>
      <c r="F3500" s="959"/>
      <c r="G3500" s="958">
        <f>ROUND(D3500*E3500,2)</f>
        <v>25.25</v>
      </c>
      <c r="H3500" s="958"/>
    </row>
    <row r="3501" spans="1:10">
      <c r="A3501" s="398"/>
      <c r="B3501" s="230" t="s">
        <v>513</v>
      </c>
      <c r="C3501" s="231" t="s">
        <v>112</v>
      </c>
      <c r="D3501" s="401">
        <v>1</v>
      </c>
      <c r="E3501" s="959">
        <f>Insumos!C1015</f>
        <v>12.2668</v>
      </c>
      <c r="F3501" s="959"/>
      <c r="G3501" s="958">
        <f>ROUND(D3501*E3501,2)</f>
        <v>12.27</v>
      </c>
      <c r="H3501" s="958"/>
    </row>
    <row r="3502" spans="1:10">
      <c r="A3502" s="398"/>
      <c r="B3502" s="230" t="s">
        <v>514</v>
      </c>
      <c r="C3502" s="231" t="s">
        <v>112</v>
      </c>
      <c r="D3502" s="401">
        <v>1</v>
      </c>
      <c r="E3502" s="959">
        <f>Insumos!C1016</f>
        <v>6.4064000000000005</v>
      </c>
      <c r="F3502" s="959"/>
      <c r="G3502" s="958">
        <f>ROUND(D3502*E3502,2)</f>
        <v>6.41</v>
      </c>
      <c r="H3502" s="958"/>
    </row>
    <row r="3503" spans="1:10" s="445" customFormat="1" ht="15">
      <c r="A3503" s="398"/>
      <c r="B3503" s="955" t="s">
        <v>536</v>
      </c>
      <c r="C3503" s="955"/>
      <c r="D3503" s="955"/>
      <c r="E3503" s="389"/>
      <c r="F3503" s="409"/>
      <c r="G3503" s="410"/>
      <c r="H3503" s="249">
        <f>SUM(G3500)</f>
        <v>25.25</v>
      </c>
      <c r="I3503" s="455"/>
      <c r="J3503" s="456"/>
    </row>
    <row r="3504" spans="1:10" s="460" customFormat="1">
      <c r="A3504" s="398"/>
      <c r="B3504" s="955" t="s">
        <v>537</v>
      </c>
      <c r="C3504" s="955"/>
      <c r="D3504" s="955"/>
      <c r="E3504" s="389"/>
      <c r="F3504" s="409"/>
      <c r="G3504" s="410"/>
      <c r="H3504" s="249">
        <f>SUM(G3501:H3502)</f>
        <v>18.68</v>
      </c>
      <c r="I3504" s="458"/>
      <c r="J3504" s="459"/>
    </row>
    <row r="3505" spans="1:10" s="460" customFormat="1">
      <c r="A3505" s="398"/>
      <c r="B3505" s="955" t="s">
        <v>1937</v>
      </c>
      <c r="C3505" s="955"/>
      <c r="D3505" s="955"/>
      <c r="E3505" s="389"/>
      <c r="F3505" s="409"/>
      <c r="G3505" s="410"/>
      <c r="H3505" s="249">
        <f>SUM(H3503:H3504)</f>
        <v>43.93</v>
      </c>
      <c r="I3505" s="458"/>
      <c r="J3505" s="459"/>
    </row>
    <row r="3506" spans="1:10" s="460" customFormat="1">
      <c r="A3506" s="398"/>
      <c r="B3506" s="955" t="s">
        <v>538</v>
      </c>
      <c r="C3506" s="955"/>
      <c r="D3506" s="955"/>
      <c r="E3506" s="389"/>
      <c r="F3506" s="411" t="s">
        <v>539</v>
      </c>
      <c r="G3506" s="410"/>
      <c r="H3506" s="249">
        <f t="shared" ref="H3506" si="132">ROUND(H3505*F3506,2)</f>
        <v>10.96</v>
      </c>
      <c r="I3506" s="458"/>
      <c r="J3506" s="459"/>
    </row>
    <row r="3507" spans="1:10" s="460" customFormat="1">
      <c r="A3507" s="398"/>
      <c r="B3507" s="956" t="s">
        <v>540</v>
      </c>
      <c r="C3507" s="956"/>
      <c r="D3507" s="956"/>
      <c r="E3507" s="740"/>
      <c r="F3507" s="768"/>
      <c r="G3507" s="769"/>
      <c r="H3507" s="770">
        <f>SUM(H3505:H3506)</f>
        <v>54.89</v>
      </c>
      <c r="I3507" s="458"/>
      <c r="J3507" s="459"/>
    </row>
    <row r="3508" spans="1:10" s="460" customFormat="1">
      <c r="A3508" s="601"/>
      <c r="B3508" s="780"/>
      <c r="C3508" s="780"/>
      <c r="D3508" s="780"/>
      <c r="E3508" s="740"/>
      <c r="F3508" s="768"/>
      <c r="G3508" s="769"/>
      <c r="H3508" s="770"/>
      <c r="I3508" s="458"/>
      <c r="J3508" s="459"/>
    </row>
    <row r="3509" spans="1:10" s="460" customFormat="1">
      <c r="A3509" s="403" t="s">
        <v>2590</v>
      </c>
      <c r="B3509" s="961" t="s">
        <v>928</v>
      </c>
      <c r="C3509" s="961"/>
      <c r="D3509" s="961"/>
      <c r="E3509" s="961"/>
      <c r="F3509" s="961"/>
      <c r="G3509" s="402"/>
      <c r="H3509" s="403" t="s">
        <v>88</v>
      </c>
      <c r="I3509" s="458"/>
      <c r="J3509" s="459"/>
    </row>
    <row r="3510" spans="1:10" s="460" customFormat="1" ht="22.5">
      <c r="A3510" s="398"/>
      <c r="B3510" s="230" t="s">
        <v>929</v>
      </c>
      <c r="C3510" s="231" t="s">
        <v>14</v>
      </c>
      <c r="D3510" s="401">
        <v>2</v>
      </c>
      <c r="E3510" s="959">
        <f>Insumos!C1017</f>
        <v>25.252500000000001</v>
      </c>
      <c r="F3510" s="959"/>
      <c r="G3510" s="958">
        <f>ROUND(D3510*E3510,2)</f>
        <v>50.51</v>
      </c>
      <c r="H3510" s="958"/>
      <c r="I3510" s="458"/>
      <c r="J3510" s="459"/>
    </row>
    <row r="3511" spans="1:10" s="460" customFormat="1">
      <c r="A3511" s="398"/>
      <c r="B3511" s="230" t="s">
        <v>513</v>
      </c>
      <c r="C3511" s="231" t="s">
        <v>112</v>
      </c>
      <c r="D3511" s="401">
        <v>1</v>
      </c>
      <c r="E3511" s="959">
        <f>Insumos!C1018</f>
        <v>12.2668</v>
      </c>
      <c r="F3511" s="959"/>
      <c r="G3511" s="958">
        <f>ROUND(D3511*E3511,2)</f>
        <v>12.27</v>
      </c>
      <c r="H3511" s="958"/>
      <c r="I3511" s="458"/>
      <c r="J3511" s="459"/>
    </row>
    <row r="3512" spans="1:10">
      <c r="A3512" s="398"/>
      <c r="B3512" s="230" t="s">
        <v>514</v>
      </c>
      <c r="C3512" s="231" t="s">
        <v>112</v>
      </c>
      <c r="D3512" s="401">
        <v>1</v>
      </c>
      <c r="E3512" s="959">
        <f>Insumos!C1019</f>
        <v>6.4064000000000005</v>
      </c>
      <c r="F3512" s="959"/>
      <c r="G3512" s="958">
        <f>ROUND(D3512*E3512,2)</f>
        <v>6.41</v>
      </c>
      <c r="H3512" s="958"/>
    </row>
    <row r="3513" spans="1:10" s="406" customFormat="1" ht="15">
      <c r="A3513" s="398"/>
      <c r="B3513" s="955" t="s">
        <v>536</v>
      </c>
      <c r="C3513" s="955"/>
      <c r="D3513" s="955"/>
      <c r="E3513" s="389"/>
      <c r="F3513" s="409"/>
      <c r="G3513" s="410"/>
      <c r="H3513" s="249">
        <f>SUM(G3510)</f>
        <v>50.51</v>
      </c>
      <c r="I3513" s="407"/>
      <c r="J3513" s="408"/>
    </row>
    <row r="3514" spans="1:10">
      <c r="A3514" s="398"/>
      <c r="B3514" s="955" t="s">
        <v>537</v>
      </c>
      <c r="C3514" s="955"/>
      <c r="D3514" s="955"/>
      <c r="E3514" s="389"/>
      <c r="F3514" s="409"/>
      <c r="G3514" s="410"/>
      <c r="H3514" s="249">
        <f>SUM(G3511:H3512)</f>
        <v>18.68</v>
      </c>
    </row>
    <row r="3515" spans="1:10">
      <c r="A3515" s="398"/>
      <c r="B3515" s="955" t="s">
        <v>1937</v>
      </c>
      <c r="C3515" s="955"/>
      <c r="D3515" s="955"/>
      <c r="E3515" s="389"/>
      <c r="F3515" s="409"/>
      <c r="G3515" s="410"/>
      <c r="H3515" s="249">
        <f>SUM(H3513:H3514)</f>
        <v>69.19</v>
      </c>
    </row>
    <row r="3516" spans="1:10">
      <c r="A3516" s="398"/>
      <c r="B3516" s="955" t="s">
        <v>538</v>
      </c>
      <c r="C3516" s="955"/>
      <c r="D3516" s="955"/>
      <c r="E3516" s="389"/>
      <c r="F3516" s="411" t="s">
        <v>539</v>
      </c>
      <c r="G3516" s="410"/>
      <c r="H3516" s="249">
        <f t="shared" ref="H3516" si="133">ROUND(H3515*F3516,2)</f>
        <v>17.27</v>
      </c>
    </row>
    <row r="3517" spans="1:10">
      <c r="A3517" s="398"/>
      <c r="B3517" s="956" t="s">
        <v>540</v>
      </c>
      <c r="C3517" s="956"/>
      <c r="D3517" s="956"/>
      <c r="E3517" s="740"/>
      <c r="F3517" s="768"/>
      <c r="G3517" s="769"/>
      <c r="H3517" s="770">
        <f>SUM(H3515:H3516)</f>
        <v>86.46</v>
      </c>
    </row>
    <row r="3518" spans="1:10" s="579" customFormat="1">
      <c r="A3518" s="601"/>
      <c r="B3518" s="780"/>
      <c r="C3518" s="780"/>
      <c r="D3518" s="780"/>
      <c r="E3518" s="740"/>
      <c r="F3518" s="768"/>
      <c r="G3518" s="769"/>
      <c r="H3518" s="770"/>
      <c r="I3518" s="400"/>
      <c r="J3518" s="404"/>
    </row>
    <row r="3519" spans="1:10">
      <c r="A3519" s="403" t="s">
        <v>2591</v>
      </c>
      <c r="B3519" s="961" t="s">
        <v>930</v>
      </c>
      <c r="C3519" s="961"/>
      <c r="D3519" s="961"/>
      <c r="E3519" s="961"/>
      <c r="F3519" s="961"/>
      <c r="G3519" s="402"/>
      <c r="H3519" s="403" t="s">
        <v>88</v>
      </c>
    </row>
    <row r="3520" spans="1:10">
      <c r="A3520" s="398"/>
      <c r="B3520" s="230" t="s">
        <v>931</v>
      </c>
      <c r="C3520" s="231" t="s">
        <v>14</v>
      </c>
      <c r="D3520" s="401">
        <v>1</v>
      </c>
      <c r="E3520" s="959">
        <f>Insumos!C1020</f>
        <v>41.587000000000003</v>
      </c>
      <c r="F3520" s="959"/>
      <c r="G3520" s="958">
        <f>ROUND(D3520*E3520,2)</f>
        <v>41.59</v>
      </c>
      <c r="H3520" s="958"/>
    </row>
    <row r="3521" spans="1:10">
      <c r="A3521" s="398"/>
      <c r="B3521" s="230" t="s">
        <v>513</v>
      </c>
      <c r="C3521" s="231" t="s">
        <v>112</v>
      </c>
      <c r="D3521" s="401">
        <v>0.28999999999999998</v>
      </c>
      <c r="E3521" s="959">
        <f>Insumos!C1021</f>
        <v>12.2668</v>
      </c>
      <c r="F3521" s="959"/>
      <c r="G3521" s="958">
        <f>ROUND(D3521*E3521,2)</f>
        <v>3.56</v>
      </c>
      <c r="H3521" s="958"/>
    </row>
    <row r="3522" spans="1:10">
      <c r="A3522" s="398"/>
      <c r="B3522" s="230" t="s">
        <v>514</v>
      </c>
      <c r="C3522" s="231" t="s">
        <v>112</v>
      </c>
      <c r="D3522" s="401">
        <v>0.28999999999999998</v>
      </c>
      <c r="E3522" s="959">
        <f>Insumos!C1022</f>
        <v>6.4064000000000005</v>
      </c>
      <c r="F3522" s="959"/>
      <c r="G3522" s="958">
        <f>ROUND(D3522*E3522,2)</f>
        <v>1.86</v>
      </c>
      <c r="H3522" s="958"/>
    </row>
    <row r="3523" spans="1:10">
      <c r="A3523" s="398"/>
      <c r="B3523" s="955" t="s">
        <v>536</v>
      </c>
      <c r="C3523" s="955"/>
      <c r="D3523" s="955"/>
      <c r="E3523" s="389"/>
      <c r="F3523" s="409"/>
      <c r="G3523" s="410"/>
      <c r="H3523" s="249">
        <f>SUM(G3520)</f>
        <v>41.59</v>
      </c>
    </row>
    <row r="3524" spans="1:10" s="406" customFormat="1" ht="15">
      <c r="A3524" s="398"/>
      <c r="B3524" s="955" t="s">
        <v>537</v>
      </c>
      <c r="C3524" s="955"/>
      <c r="D3524" s="955"/>
      <c r="E3524" s="389"/>
      <c r="F3524" s="409"/>
      <c r="G3524" s="410"/>
      <c r="H3524" s="249">
        <f>SUM(G3521:H3522)</f>
        <v>5.42</v>
      </c>
      <c r="I3524" s="407"/>
      <c r="J3524" s="408"/>
    </row>
    <row r="3525" spans="1:10">
      <c r="A3525" s="398"/>
      <c r="B3525" s="955" t="s">
        <v>1937</v>
      </c>
      <c r="C3525" s="955"/>
      <c r="D3525" s="955"/>
      <c r="E3525" s="389"/>
      <c r="F3525" s="409"/>
      <c r="G3525" s="410"/>
      <c r="H3525" s="249">
        <f>SUM(H3523:H3524)</f>
        <v>47.010000000000005</v>
      </c>
    </row>
    <row r="3526" spans="1:10">
      <c r="A3526" s="398"/>
      <c r="B3526" s="955" t="s">
        <v>538</v>
      </c>
      <c r="C3526" s="955"/>
      <c r="D3526" s="955"/>
      <c r="E3526" s="389"/>
      <c r="F3526" s="411" t="s">
        <v>539</v>
      </c>
      <c r="G3526" s="410"/>
      <c r="H3526" s="249">
        <f t="shared" ref="H3526" si="134">ROUND(H3525*F3526,2)</f>
        <v>11.73</v>
      </c>
    </row>
    <row r="3527" spans="1:10">
      <c r="A3527" s="398"/>
      <c r="B3527" s="956" t="s">
        <v>540</v>
      </c>
      <c r="C3527" s="956"/>
      <c r="D3527" s="956"/>
      <c r="E3527" s="740"/>
      <c r="F3527" s="768"/>
      <c r="G3527" s="769"/>
      <c r="H3527" s="770">
        <f>SUM(H3525:H3526)</f>
        <v>58.740000000000009</v>
      </c>
    </row>
    <row r="3528" spans="1:10" s="579" customFormat="1">
      <c r="A3528" s="601"/>
      <c r="B3528" s="780"/>
      <c r="C3528" s="780"/>
      <c r="D3528" s="780"/>
      <c r="E3528" s="740"/>
      <c r="F3528" s="768"/>
      <c r="G3528" s="769"/>
      <c r="H3528" s="770"/>
      <c r="I3528" s="400"/>
      <c r="J3528" s="404"/>
    </row>
    <row r="3529" spans="1:10">
      <c r="A3529" s="403" t="s">
        <v>2592</v>
      </c>
      <c r="B3529" s="961" t="s">
        <v>932</v>
      </c>
      <c r="C3529" s="961"/>
      <c r="D3529" s="961"/>
      <c r="E3529" s="961"/>
      <c r="F3529" s="961"/>
      <c r="G3529" s="402"/>
      <c r="H3529" s="403" t="s">
        <v>88</v>
      </c>
    </row>
    <row r="3530" spans="1:10" ht="22.5">
      <c r="A3530" s="398"/>
      <c r="B3530" s="230" t="s">
        <v>933</v>
      </c>
      <c r="C3530" s="231" t="s">
        <v>14</v>
      </c>
      <c r="D3530" s="401">
        <v>1</v>
      </c>
      <c r="E3530" s="959">
        <f>Insumos!C1023</f>
        <v>344.19839999999999</v>
      </c>
      <c r="F3530" s="959"/>
      <c r="G3530" s="958">
        <f>ROUND(D3530*E3530,2)</f>
        <v>344.2</v>
      </c>
      <c r="H3530" s="958"/>
    </row>
    <row r="3531" spans="1:10">
      <c r="A3531" s="398"/>
      <c r="B3531" s="230" t="s">
        <v>513</v>
      </c>
      <c r="C3531" s="231" t="s">
        <v>112</v>
      </c>
      <c r="D3531" s="401">
        <v>2</v>
      </c>
      <c r="E3531" s="959">
        <f>Insumos!C1024</f>
        <v>12.2668</v>
      </c>
      <c r="F3531" s="959"/>
      <c r="G3531" s="958">
        <f>ROUND(D3531*E3531,2)</f>
        <v>24.53</v>
      </c>
      <c r="H3531" s="958"/>
    </row>
    <row r="3532" spans="1:10">
      <c r="A3532" s="398"/>
      <c r="B3532" s="230" t="s">
        <v>514</v>
      </c>
      <c r="C3532" s="231" t="s">
        <v>112</v>
      </c>
      <c r="D3532" s="401">
        <v>2</v>
      </c>
      <c r="E3532" s="959">
        <f>Insumos!C1025</f>
        <v>6.4064000000000005</v>
      </c>
      <c r="F3532" s="959"/>
      <c r="G3532" s="958">
        <f>ROUND(D3532*E3532,2)</f>
        <v>12.81</v>
      </c>
      <c r="H3532" s="958"/>
    </row>
    <row r="3533" spans="1:10">
      <c r="A3533" s="398"/>
      <c r="B3533" s="955" t="s">
        <v>536</v>
      </c>
      <c r="C3533" s="955"/>
      <c r="D3533" s="955"/>
      <c r="E3533" s="389"/>
      <c r="F3533" s="409"/>
      <c r="G3533" s="410"/>
      <c r="H3533" s="249">
        <f>SUM(G3530)</f>
        <v>344.2</v>
      </c>
    </row>
    <row r="3534" spans="1:10">
      <c r="A3534" s="398"/>
      <c r="B3534" s="955" t="s">
        <v>537</v>
      </c>
      <c r="C3534" s="955"/>
      <c r="D3534" s="955"/>
      <c r="E3534" s="389"/>
      <c r="F3534" s="409"/>
      <c r="G3534" s="410"/>
      <c r="H3534" s="249">
        <f>SUM(G3531:H3532)</f>
        <v>37.340000000000003</v>
      </c>
    </row>
    <row r="3535" spans="1:10">
      <c r="A3535" s="398"/>
      <c r="B3535" s="955" t="s">
        <v>1937</v>
      </c>
      <c r="C3535" s="955"/>
      <c r="D3535" s="955"/>
      <c r="E3535" s="389"/>
      <c r="F3535" s="409"/>
      <c r="G3535" s="410"/>
      <c r="H3535" s="249">
        <f>SUM(H3533:H3534)</f>
        <v>381.53999999999996</v>
      </c>
    </row>
    <row r="3536" spans="1:10">
      <c r="A3536" s="398"/>
      <c r="B3536" s="955" t="s">
        <v>538</v>
      </c>
      <c r="C3536" s="955"/>
      <c r="D3536" s="955"/>
      <c r="E3536" s="389"/>
      <c r="F3536" s="411" t="s">
        <v>539</v>
      </c>
      <c r="G3536" s="410"/>
      <c r="H3536" s="249">
        <f t="shared" ref="H3536" si="135">ROUND(H3535*F3536,2)</f>
        <v>95.23</v>
      </c>
    </row>
    <row r="3537" spans="1:10" s="406" customFormat="1" ht="15">
      <c r="A3537" s="398"/>
      <c r="B3537" s="956" t="s">
        <v>540</v>
      </c>
      <c r="C3537" s="956"/>
      <c r="D3537" s="956"/>
      <c r="E3537" s="740"/>
      <c r="F3537" s="768"/>
      <c r="G3537" s="769"/>
      <c r="H3537" s="770">
        <f>SUM(H3535:H3536)</f>
        <v>476.77</v>
      </c>
      <c r="I3537" s="407"/>
      <c r="J3537" s="408"/>
    </row>
    <row r="3538" spans="1:10" s="581" customFormat="1" ht="15">
      <c r="A3538" s="601"/>
      <c r="B3538" s="780"/>
      <c r="C3538" s="780"/>
      <c r="D3538" s="780"/>
      <c r="E3538" s="740"/>
      <c r="F3538" s="768"/>
      <c r="G3538" s="769"/>
      <c r="H3538" s="770"/>
      <c r="I3538" s="603"/>
      <c r="J3538" s="604"/>
    </row>
    <row r="3539" spans="1:10" ht="12" customHeight="1">
      <c r="A3539" s="403" t="s">
        <v>2593</v>
      </c>
      <c r="B3539" s="961" t="s">
        <v>934</v>
      </c>
      <c r="C3539" s="961"/>
      <c r="D3539" s="961"/>
      <c r="E3539" s="961"/>
      <c r="F3539" s="961"/>
      <c r="G3539" s="402"/>
      <c r="H3539" s="403" t="s">
        <v>88</v>
      </c>
    </row>
    <row r="3540" spans="1:10">
      <c r="A3540" s="398"/>
      <c r="B3540" s="230" t="s">
        <v>936</v>
      </c>
      <c r="C3540" s="231" t="s">
        <v>14</v>
      </c>
      <c r="D3540" s="401">
        <v>1</v>
      </c>
      <c r="E3540" s="959">
        <f>Insumos!C1026</f>
        <v>407.3433</v>
      </c>
      <c r="F3540" s="959"/>
      <c r="G3540" s="958">
        <f>ROUND(D3540*E3540,2)</f>
        <v>407.34</v>
      </c>
      <c r="H3540" s="958"/>
    </row>
    <row r="3541" spans="1:10">
      <c r="A3541" s="398"/>
      <c r="B3541" s="230" t="s">
        <v>513</v>
      </c>
      <c r="C3541" s="231" t="s">
        <v>112</v>
      </c>
      <c r="D3541" s="401">
        <v>0.61</v>
      </c>
      <c r="E3541" s="959">
        <f>Insumos!C1027</f>
        <v>12.2668</v>
      </c>
      <c r="F3541" s="959"/>
      <c r="G3541" s="958">
        <f>ROUND(D3541*E3541,2)</f>
        <v>7.48</v>
      </c>
      <c r="H3541" s="958"/>
    </row>
    <row r="3542" spans="1:10">
      <c r="A3542" s="398"/>
      <c r="B3542" s="230" t="s">
        <v>514</v>
      </c>
      <c r="C3542" s="231" t="s">
        <v>112</v>
      </c>
      <c r="D3542" s="401">
        <v>0.61</v>
      </c>
      <c r="E3542" s="959">
        <f>Insumos!C1028</f>
        <v>6.4064000000000005</v>
      </c>
      <c r="F3542" s="959"/>
      <c r="G3542" s="958">
        <f>ROUND(D3542*E3542,2)</f>
        <v>3.91</v>
      </c>
      <c r="H3542" s="958"/>
    </row>
    <row r="3543" spans="1:10">
      <c r="A3543" s="398"/>
      <c r="B3543" s="955" t="s">
        <v>536</v>
      </c>
      <c r="C3543" s="955"/>
      <c r="D3543" s="955"/>
      <c r="E3543" s="389"/>
      <c r="F3543" s="409"/>
      <c r="G3543" s="410"/>
      <c r="H3543" s="249">
        <f>SUM(G3540)</f>
        <v>407.34</v>
      </c>
    </row>
    <row r="3544" spans="1:10">
      <c r="A3544" s="398"/>
      <c r="B3544" s="955" t="s">
        <v>537</v>
      </c>
      <c r="C3544" s="955"/>
      <c r="D3544" s="955"/>
      <c r="E3544" s="389"/>
      <c r="F3544" s="409"/>
      <c r="G3544" s="410"/>
      <c r="H3544" s="249">
        <f>SUM(G3541:H3542)</f>
        <v>11.39</v>
      </c>
    </row>
    <row r="3545" spans="1:10">
      <c r="A3545" s="398"/>
      <c r="B3545" s="955" t="s">
        <v>1937</v>
      </c>
      <c r="C3545" s="955"/>
      <c r="D3545" s="955"/>
      <c r="E3545" s="389"/>
      <c r="F3545" s="409"/>
      <c r="G3545" s="410"/>
      <c r="H3545" s="249">
        <f>SUM(H3543:H3544)</f>
        <v>418.72999999999996</v>
      </c>
    </row>
    <row r="3546" spans="1:10">
      <c r="A3546" s="398"/>
      <c r="B3546" s="955" t="s">
        <v>538</v>
      </c>
      <c r="C3546" s="955"/>
      <c r="D3546" s="955"/>
      <c r="E3546" s="389"/>
      <c r="F3546" s="411" t="s">
        <v>539</v>
      </c>
      <c r="G3546" s="410"/>
      <c r="H3546" s="249">
        <f t="shared" ref="H3546" si="136">ROUND(H3545*F3546,2)</f>
        <v>104.52</v>
      </c>
    </row>
    <row r="3547" spans="1:10">
      <c r="A3547" s="398"/>
      <c r="B3547" s="956" t="s">
        <v>540</v>
      </c>
      <c r="C3547" s="956"/>
      <c r="D3547" s="956"/>
      <c r="E3547" s="740"/>
      <c r="F3547" s="768"/>
      <c r="G3547" s="769"/>
      <c r="H3547" s="770">
        <f>SUM(H3545:H3546)</f>
        <v>523.25</v>
      </c>
    </row>
    <row r="3548" spans="1:10" s="579" customFormat="1">
      <c r="A3548" s="601"/>
      <c r="B3548" s="780"/>
      <c r="C3548" s="780"/>
      <c r="D3548" s="780"/>
      <c r="E3548" s="740"/>
      <c r="F3548" s="768"/>
      <c r="G3548" s="769"/>
      <c r="H3548" s="770"/>
      <c r="I3548" s="400"/>
      <c r="J3548" s="404"/>
    </row>
    <row r="3549" spans="1:10">
      <c r="A3549" s="403" t="s">
        <v>2594</v>
      </c>
      <c r="B3549" s="961" t="s">
        <v>938</v>
      </c>
      <c r="C3549" s="961"/>
      <c r="D3549" s="961"/>
      <c r="E3549" s="961"/>
      <c r="F3549" s="961"/>
      <c r="G3549" s="402"/>
      <c r="H3549" s="403" t="s">
        <v>88</v>
      </c>
    </row>
    <row r="3550" spans="1:10">
      <c r="A3550" s="398"/>
      <c r="B3550" s="230" t="s">
        <v>939</v>
      </c>
      <c r="C3550" s="231" t="s">
        <v>14</v>
      </c>
      <c r="D3550" s="436">
        <v>1</v>
      </c>
      <c r="E3550" s="959">
        <f>Insumos!C1029</f>
        <v>105.21420000000001</v>
      </c>
      <c r="F3550" s="959"/>
      <c r="G3550" s="958">
        <f>ROUND(D3550*E3550,2)</f>
        <v>105.21</v>
      </c>
      <c r="H3550" s="958"/>
    </row>
    <row r="3551" spans="1:10">
      <c r="A3551" s="398"/>
      <c r="B3551" s="230" t="s">
        <v>576</v>
      </c>
      <c r="C3551" s="231" t="s">
        <v>112</v>
      </c>
      <c r="D3551" s="436">
        <v>0.49899999999999944</v>
      </c>
      <c r="E3551" s="959">
        <f>Insumos!C1030</f>
        <v>8.6722999999999999</v>
      </c>
      <c r="F3551" s="959"/>
      <c r="G3551" s="958">
        <f>ROUND(D3551*E3551,2)</f>
        <v>4.33</v>
      </c>
      <c r="H3551" s="958"/>
    </row>
    <row r="3552" spans="1:10">
      <c r="A3552" s="398"/>
      <c r="B3552" s="230" t="s">
        <v>535</v>
      </c>
      <c r="C3552" s="231" t="s">
        <v>112</v>
      </c>
      <c r="D3552" s="436">
        <v>0.5</v>
      </c>
      <c r="E3552" s="959">
        <f>Insumos!C1031</f>
        <v>6.4064000000000005</v>
      </c>
      <c r="F3552" s="959"/>
      <c r="G3552" s="958">
        <f>ROUND(D3552*E3552,2)</f>
        <v>3.2</v>
      </c>
      <c r="H3552" s="958"/>
    </row>
    <row r="3553" spans="1:10">
      <c r="A3553" s="398"/>
      <c r="B3553" s="955" t="s">
        <v>536</v>
      </c>
      <c r="C3553" s="955"/>
      <c r="D3553" s="955"/>
      <c r="E3553" s="389"/>
      <c r="F3553" s="409"/>
      <c r="G3553" s="410"/>
      <c r="H3553" s="249">
        <f>SUM(G3550)</f>
        <v>105.21</v>
      </c>
    </row>
    <row r="3554" spans="1:10">
      <c r="A3554" s="398"/>
      <c r="B3554" s="955" t="s">
        <v>537</v>
      </c>
      <c r="C3554" s="955"/>
      <c r="D3554" s="955"/>
      <c r="E3554" s="389"/>
      <c r="F3554" s="409"/>
      <c r="G3554" s="410"/>
      <c r="H3554" s="249">
        <f>SUM(G3551:H3552)</f>
        <v>7.53</v>
      </c>
    </row>
    <row r="3555" spans="1:10">
      <c r="A3555" s="398"/>
      <c r="B3555" s="955" t="s">
        <v>1937</v>
      </c>
      <c r="C3555" s="955"/>
      <c r="D3555" s="955"/>
      <c r="E3555" s="389"/>
      <c r="F3555" s="409"/>
      <c r="G3555" s="410"/>
      <c r="H3555" s="249">
        <f>SUM(H3553:H3554)</f>
        <v>112.74</v>
      </c>
    </row>
    <row r="3556" spans="1:10">
      <c r="A3556" s="398"/>
      <c r="B3556" s="955" t="s">
        <v>538</v>
      </c>
      <c r="C3556" s="955"/>
      <c r="D3556" s="955"/>
      <c r="E3556" s="389"/>
      <c r="F3556" s="411" t="s">
        <v>539</v>
      </c>
      <c r="G3556" s="410"/>
      <c r="H3556" s="249">
        <f t="shared" ref="H3556" si="137">ROUND(H3555*F3556,2)</f>
        <v>28.14</v>
      </c>
    </row>
    <row r="3557" spans="1:10" s="406" customFormat="1" ht="15">
      <c r="A3557" s="398"/>
      <c r="B3557" s="956" t="s">
        <v>540</v>
      </c>
      <c r="C3557" s="956"/>
      <c r="D3557" s="956"/>
      <c r="E3557" s="740"/>
      <c r="F3557" s="768"/>
      <c r="G3557" s="769"/>
      <c r="H3557" s="770">
        <f>SUM(H3555:H3556)</f>
        <v>140.88</v>
      </c>
      <c r="I3557" s="407"/>
      <c r="J3557" s="408"/>
    </row>
    <row r="3558" spans="1:10" s="581" customFormat="1" ht="15">
      <c r="A3558" s="601"/>
      <c r="B3558" s="780"/>
      <c r="C3558" s="780"/>
      <c r="D3558" s="780"/>
      <c r="E3558" s="740"/>
      <c r="F3558" s="768"/>
      <c r="G3558" s="769"/>
      <c r="H3558" s="770"/>
      <c r="I3558" s="603"/>
      <c r="J3558" s="604"/>
    </row>
    <row r="3559" spans="1:10">
      <c r="A3559" s="403" t="s">
        <v>2595</v>
      </c>
      <c r="B3559" s="961" t="s">
        <v>940</v>
      </c>
      <c r="C3559" s="961"/>
      <c r="D3559" s="961"/>
      <c r="E3559" s="961"/>
      <c r="F3559" s="961"/>
      <c r="G3559" s="402"/>
      <c r="H3559" s="403" t="s">
        <v>88</v>
      </c>
    </row>
    <row r="3560" spans="1:10">
      <c r="A3560" s="398"/>
      <c r="B3560" s="230" t="s">
        <v>941</v>
      </c>
      <c r="C3560" s="231" t="s">
        <v>14</v>
      </c>
      <c r="D3560" s="401">
        <v>1</v>
      </c>
      <c r="E3560" s="959">
        <f>Insumos!C1032</f>
        <v>91.700699999999998</v>
      </c>
      <c r="F3560" s="959"/>
      <c r="G3560" s="958">
        <f>ROUND(D3560*E3560,2)</f>
        <v>91.7</v>
      </c>
      <c r="H3560" s="958"/>
    </row>
    <row r="3561" spans="1:10">
      <c r="A3561" s="398"/>
      <c r="B3561" s="230" t="s">
        <v>576</v>
      </c>
      <c r="C3561" s="231" t="s">
        <v>112</v>
      </c>
      <c r="D3561" s="401">
        <v>0.5</v>
      </c>
      <c r="E3561" s="959">
        <f>Insumos!C1033</f>
        <v>8.6722999999999999</v>
      </c>
      <c r="F3561" s="959"/>
      <c r="G3561" s="958">
        <f>ROUND(D3561*E3561,2)</f>
        <v>4.34</v>
      </c>
      <c r="H3561" s="958"/>
    </row>
    <row r="3562" spans="1:10">
      <c r="A3562" s="398"/>
      <c r="B3562" s="230" t="s">
        <v>535</v>
      </c>
      <c r="C3562" s="231" t="s">
        <v>112</v>
      </c>
      <c r="D3562" s="401">
        <v>0.5</v>
      </c>
      <c r="E3562" s="959">
        <f>Insumos!C1034</f>
        <v>6.4064000000000005</v>
      </c>
      <c r="F3562" s="959"/>
      <c r="G3562" s="958">
        <f>ROUND(D3562*E3562,2)</f>
        <v>3.2</v>
      </c>
      <c r="H3562" s="958"/>
    </row>
    <row r="3563" spans="1:10">
      <c r="A3563" s="398"/>
      <c r="B3563" s="955" t="s">
        <v>536</v>
      </c>
      <c r="C3563" s="955"/>
      <c r="D3563" s="955"/>
      <c r="E3563" s="389"/>
      <c r="F3563" s="409"/>
      <c r="G3563" s="410"/>
      <c r="H3563" s="249">
        <f>SUM(G3560)</f>
        <v>91.7</v>
      </c>
    </row>
    <row r="3564" spans="1:10">
      <c r="A3564" s="398"/>
      <c r="B3564" s="955" t="s">
        <v>537</v>
      </c>
      <c r="C3564" s="955"/>
      <c r="D3564" s="955"/>
      <c r="E3564" s="389"/>
      <c r="F3564" s="409"/>
      <c r="G3564" s="410"/>
      <c r="H3564" s="249">
        <f>SUM(G3561:H3562)</f>
        <v>7.54</v>
      </c>
    </row>
    <row r="3565" spans="1:10">
      <c r="A3565" s="398"/>
      <c r="B3565" s="955" t="s">
        <v>1937</v>
      </c>
      <c r="C3565" s="955"/>
      <c r="D3565" s="955"/>
      <c r="E3565" s="389"/>
      <c r="F3565" s="409"/>
      <c r="G3565" s="410"/>
      <c r="H3565" s="249">
        <f>SUM(H3563:H3564)</f>
        <v>99.240000000000009</v>
      </c>
    </row>
    <row r="3566" spans="1:10">
      <c r="A3566" s="398"/>
      <c r="B3566" s="955" t="s">
        <v>538</v>
      </c>
      <c r="C3566" s="955"/>
      <c r="D3566" s="955"/>
      <c r="E3566" s="389"/>
      <c r="F3566" s="411" t="s">
        <v>539</v>
      </c>
      <c r="G3566" s="410"/>
      <c r="H3566" s="249">
        <f t="shared" ref="H3566" si="138">ROUND(H3565*F3566,2)</f>
        <v>24.77</v>
      </c>
    </row>
    <row r="3567" spans="1:10">
      <c r="A3567" s="398"/>
      <c r="B3567" s="956" t="s">
        <v>540</v>
      </c>
      <c r="C3567" s="956"/>
      <c r="D3567" s="956"/>
      <c r="E3567" s="740"/>
      <c r="F3567" s="768"/>
      <c r="G3567" s="769"/>
      <c r="H3567" s="770">
        <f>SUM(H3565:H3566)</f>
        <v>124.01</v>
      </c>
    </row>
    <row r="3568" spans="1:10" s="579" customFormat="1">
      <c r="A3568" s="601"/>
      <c r="B3568" s="780"/>
      <c r="C3568" s="780"/>
      <c r="D3568" s="780"/>
      <c r="E3568" s="740"/>
      <c r="F3568" s="768"/>
      <c r="G3568" s="769"/>
      <c r="H3568" s="770"/>
      <c r="I3568" s="400"/>
      <c r="J3568" s="404"/>
    </row>
    <row r="3569" spans="1:10" s="406" customFormat="1" ht="15">
      <c r="A3569" s="403" t="s">
        <v>2596</v>
      </c>
      <c r="B3569" s="961" t="s">
        <v>942</v>
      </c>
      <c r="C3569" s="961"/>
      <c r="D3569" s="961"/>
      <c r="E3569" s="961"/>
      <c r="F3569" s="961"/>
      <c r="G3569" s="402"/>
      <c r="H3569" s="403" t="s">
        <v>88</v>
      </c>
      <c r="I3569" s="407"/>
      <c r="J3569" s="408"/>
    </row>
    <row r="3570" spans="1:10">
      <c r="A3570" s="398"/>
      <c r="B3570" s="230" t="s">
        <v>943</v>
      </c>
      <c r="C3570" s="231" t="s">
        <v>14</v>
      </c>
      <c r="D3570" s="401">
        <v>1</v>
      </c>
      <c r="E3570" s="959">
        <f>Insumos!C1035</f>
        <v>40.886299999999999</v>
      </c>
      <c r="F3570" s="959"/>
      <c r="G3570" s="958">
        <f>ROUND(D3570*E3570,2)</f>
        <v>40.89</v>
      </c>
      <c r="H3570" s="958"/>
    </row>
    <row r="3571" spans="1:10">
      <c r="A3571" s="398"/>
      <c r="B3571" s="230" t="s">
        <v>576</v>
      </c>
      <c r="C3571" s="231" t="s">
        <v>112</v>
      </c>
      <c r="D3571" s="401">
        <v>0.2</v>
      </c>
      <c r="E3571" s="959">
        <f>Insumos!C1036</f>
        <v>8.6722999999999999</v>
      </c>
      <c r="F3571" s="959"/>
      <c r="G3571" s="958">
        <f>ROUND(D3571*E3571,2)</f>
        <v>1.73</v>
      </c>
      <c r="H3571" s="958"/>
    </row>
    <row r="3572" spans="1:10">
      <c r="A3572" s="398"/>
      <c r="B3572" s="955" t="s">
        <v>536</v>
      </c>
      <c r="C3572" s="955"/>
      <c r="D3572" s="955"/>
      <c r="E3572" s="389"/>
      <c r="F3572" s="409"/>
      <c r="G3572" s="410"/>
      <c r="H3572" s="249">
        <f>SUM(G3570)</f>
        <v>40.89</v>
      </c>
    </row>
    <row r="3573" spans="1:10">
      <c r="A3573" s="398"/>
      <c r="B3573" s="955" t="s">
        <v>537</v>
      </c>
      <c r="C3573" s="955"/>
      <c r="D3573" s="955"/>
      <c r="E3573" s="389"/>
      <c r="F3573" s="409"/>
      <c r="G3573" s="410"/>
      <c r="H3573" s="249">
        <f>SUM(G3571)</f>
        <v>1.73</v>
      </c>
    </row>
    <row r="3574" spans="1:10">
      <c r="A3574" s="398"/>
      <c r="B3574" s="955" t="s">
        <v>1937</v>
      </c>
      <c r="C3574" s="955"/>
      <c r="D3574" s="955"/>
      <c r="E3574" s="389"/>
      <c r="F3574" s="409"/>
      <c r="G3574" s="410"/>
      <c r="H3574" s="249">
        <f>SUM(H3572:H3573)</f>
        <v>42.62</v>
      </c>
    </row>
    <row r="3575" spans="1:10">
      <c r="A3575" s="398"/>
      <c r="B3575" s="955" t="s">
        <v>538</v>
      </c>
      <c r="C3575" s="955"/>
      <c r="D3575" s="955"/>
      <c r="E3575" s="389"/>
      <c r="F3575" s="411" t="s">
        <v>539</v>
      </c>
      <c r="G3575" s="410"/>
      <c r="H3575" s="249">
        <f t="shared" ref="H3575" si="139">ROUND(H3574*F3575,2)</f>
        <v>10.64</v>
      </c>
    </row>
    <row r="3576" spans="1:10">
      <c r="A3576" s="398"/>
      <c r="B3576" s="956" t="s">
        <v>540</v>
      </c>
      <c r="C3576" s="956"/>
      <c r="D3576" s="956"/>
      <c r="E3576" s="740"/>
      <c r="F3576" s="768"/>
      <c r="G3576" s="769"/>
      <c r="H3576" s="770">
        <f>SUM(H3574:H3575)</f>
        <v>53.26</v>
      </c>
    </row>
    <row r="3577" spans="1:10" s="579" customFormat="1">
      <c r="A3577" s="601"/>
      <c r="B3577" s="780"/>
      <c r="C3577" s="780"/>
      <c r="D3577" s="780"/>
      <c r="E3577" s="740"/>
      <c r="F3577" s="768"/>
      <c r="G3577" s="769"/>
      <c r="H3577" s="770"/>
      <c r="I3577" s="400"/>
      <c r="J3577" s="404"/>
    </row>
    <row r="3578" spans="1:10">
      <c r="A3578" s="403" t="s">
        <v>2597</v>
      </c>
      <c r="B3578" s="961" t="s">
        <v>944</v>
      </c>
      <c r="C3578" s="961"/>
      <c r="D3578" s="961"/>
      <c r="E3578" s="961"/>
      <c r="F3578" s="961"/>
      <c r="G3578" s="402"/>
      <c r="H3578" s="403" t="s">
        <v>88</v>
      </c>
    </row>
    <row r="3579" spans="1:10">
      <c r="A3579" s="398"/>
      <c r="B3579" s="230" t="s">
        <v>945</v>
      </c>
      <c r="C3579" s="231" t="s">
        <v>15</v>
      </c>
      <c r="D3579" s="401">
        <v>1</v>
      </c>
      <c r="E3579" s="959">
        <f>Insumos!C1037</f>
        <v>2.1840000000000002</v>
      </c>
      <c r="F3579" s="959"/>
      <c r="G3579" s="958">
        <f>ROUND(D3579*E3579,2)</f>
        <v>2.1800000000000002</v>
      </c>
      <c r="H3579" s="958"/>
    </row>
    <row r="3580" spans="1:10">
      <c r="A3580" s="398"/>
      <c r="B3580" s="230" t="s">
        <v>946</v>
      </c>
      <c r="C3580" s="231" t="s">
        <v>112</v>
      </c>
      <c r="D3580" s="401">
        <v>0.2</v>
      </c>
      <c r="E3580" s="959">
        <f>Insumos!C1038</f>
        <v>8.6722999999999999</v>
      </c>
      <c r="F3580" s="959"/>
      <c r="G3580" s="958">
        <f>ROUND(D3580*E3580,2)</f>
        <v>1.73</v>
      </c>
      <c r="H3580" s="958"/>
    </row>
    <row r="3581" spans="1:10">
      <c r="A3581" s="398"/>
      <c r="B3581" s="955" t="s">
        <v>536</v>
      </c>
      <c r="C3581" s="955"/>
      <c r="D3581" s="955"/>
      <c r="E3581" s="389"/>
      <c r="F3581" s="409"/>
      <c r="G3581" s="410"/>
      <c r="H3581" s="249">
        <f>SUM(G3579)</f>
        <v>2.1800000000000002</v>
      </c>
    </row>
    <row r="3582" spans="1:10" s="406" customFormat="1" ht="15">
      <c r="A3582" s="398"/>
      <c r="B3582" s="955" t="s">
        <v>537</v>
      </c>
      <c r="C3582" s="955"/>
      <c r="D3582" s="955"/>
      <c r="E3582" s="389"/>
      <c r="F3582" s="409"/>
      <c r="G3582" s="410"/>
      <c r="H3582" s="249">
        <f>SUM(G3580)</f>
        <v>1.73</v>
      </c>
      <c r="I3582" s="407"/>
      <c r="J3582" s="408"/>
    </row>
    <row r="3583" spans="1:10">
      <c r="A3583" s="398"/>
      <c r="B3583" s="955" t="s">
        <v>1937</v>
      </c>
      <c r="C3583" s="955"/>
      <c r="D3583" s="955"/>
      <c r="E3583" s="389"/>
      <c r="F3583" s="409"/>
      <c r="G3583" s="410"/>
      <c r="H3583" s="249">
        <f>SUM(H3581:H3582)</f>
        <v>3.91</v>
      </c>
    </row>
    <row r="3584" spans="1:10">
      <c r="A3584" s="398"/>
      <c r="B3584" s="955" t="s">
        <v>538</v>
      </c>
      <c r="C3584" s="955"/>
      <c r="D3584" s="955"/>
      <c r="E3584" s="389"/>
      <c r="F3584" s="411" t="s">
        <v>539</v>
      </c>
      <c r="G3584" s="410"/>
      <c r="H3584" s="249">
        <f t="shared" ref="H3584" si="140">ROUND(H3583*F3584,2)</f>
        <v>0.98</v>
      </c>
    </row>
    <row r="3585" spans="1:10">
      <c r="A3585" s="398"/>
      <c r="B3585" s="956" t="s">
        <v>540</v>
      </c>
      <c r="C3585" s="956"/>
      <c r="D3585" s="956"/>
      <c r="E3585" s="740"/>
      <c r="F3585" s="768"/>
      <c r="G3585" s="769"/>
      <c r="H3585" s="770">
        <f>SUM(H3583:H3584)</f>
        <v>4.8900000000000006</v>
      </c>
    </row>
    <row r="3586" spans="1:10" s="579" customFormat="1">
      <c r="A3586" s="601"/>
      <c r="B3586" s="780"/>
      <c r="C3586" s="780"/>
      <c r="D3586" s="780"/>
      <c r="E3586" s="740"/>
      <c r="F3586" s="768"/>
      <c r="G3586" s="769"/>
      <c r="H3586" s="770"/>
      <c r="I3586" s="400"/>
      <c r="J3586" s="404"/>
    </row>
    <row r="3587" spans="1:10">
      <c r="A3587" s="403" t="s">
        <v>2598</v>
      </c>
      <c r="B3587" s="961" t="s">
        <v>1903</v>
      </c>
      <c r="C3587" s="961"/>
      <c r="D3587" s="961"/>
      <c r="E3587" s="961"/>
      <c r="F3587" s="961"/>
      <c r="G3587" s="402"/>
      <c r="H3587" s="403" t="s">
        <v>88</v>
      </c>
    </row>
    <row r="3588" spans="1:10">
      <c r="A3588" s="398"/>
      <c r="B3588" s="230" t="s">
        <v>1415</v>
      </c>
      <c r="C3588" s="231" t="s">
        <v>14</v>
      </c>
      <c r="D3588" s="401">
        <v>1</v>
      </c>
      <c r="E3588" s="959">
        <f>Insumos!C1039</f>
        <v>40.886299999999999</v>
      </c>
      <c r="F3588" s="959"/>
      <c r="G3588" s="958">
        <f>ROUND(D3588*E3588,2)</f>
        <v>40.89</v>
      </c>
      <c r="H3588" s="958"/>
    </row>
    <row r="3589" spans="1:10">
      <c r="A3589" s="398"/>
      <c r="B3589" s="230" t="s">
        <v>576</v>
      </c>
      <c r="C3589" s="231" t="s">
        <v>112</v>
      </c>
      <c r="D3589" s="401">
        <v>0.2</v>
      </c>
      <c r="E3589" s="959">
        <f>Insumos!C1040</f>
        <v>8.6722999999999999</v>
      </c>
      <c r="F3589" s="959"/>
      <c r="G3589" s="958">
        <f>ROUND(D3589*E3589,2)</f>
        <v>1.73</v>
      </c>
      <c r="H3589" s="958"/>
    </row>
    <row r="3590" spans="1:10">
      <c r="A3590" s="398"/>
      <c r="B3590" s="955" t="s">
        <v>536</v>
      </c>
      <c r="C3590" s="955"/>
      <c r="D3590" s="955"/>
      <c r="E3590" s="389"/>
      <c r="F3590" s="409"/>
      <c r="G3590" s="410"/>
      <c r="H3590" s="249">
        <f>SUM(G3588)</f>
        <v>40.89</v>
      </c>
    </row>
    <row r="3591" spans="1:10">
      <c r="A3591" s="398"/>
      <c r="B3591" s="955" t="s">
        <v>537</v>
      </c>
      <c r="C3591" s="955"/>
      <c r="D3591" s="955"/>
      <c r="E3591" s="389"/>
      <c r="F3591" s="409"/>
      <c r="G3591" s="410"/>
      <c r="H3591" s="249">
        <f>SUM(G3589)</f>
        <v>1.73</v>
      </c>
    </row>
    <row r="3592" spans="1:10" s="406" customFormat="1" ht="15">
      <c r="A3592" s="398"/>
      <c r="B3592" s="955" t="s">
        <v>1937</v>
      </c>
      <c r="C3592" s="955"/>
      <c r="D3592" s="955"/>
      <c r="E3592" s="389"/>
      <c r="F3592" s="409"/>
      <c r="G3592" s="410"/>
      <c r="H3592" s="249">
        <f>SUM(H3590:H3591)</f>
        <v>42.62</v>
      </c>
      <c r="I3592" s="407"/>
      <c r="J3592" s="408"/>
    </row>
    <row r="3593" spans="1:10">
      <c r="A3593" s="398"/>
      <c r="B3593" s="955" t="s">
        <v>538</v>
      </c>
      <c r="C3593" s="955"/>
      <c r="D3593" s="955"/>
      <c r="E3593" s="389"/>
      <c r="F3593" s="411" t="s">
        <v>539</v>
      </c>
      <c r="G3593" s="410"/>
      <c r="H3593" s="249">
        <f t="shared" ref="H3593" si="141">ROUND(H3592*F3593,2)</f>
        <v>10.64</v>
      </c>
    </row>
    <row r="3594" spans="1:10">
      <c r="A3594" s="398"/>
      <c r="B3594" s="956" t="s">
        <v>540</v>
      </c>
      <c r="C3594" s="956"/>
      <c r="D3594" s="956"/>
      <c r="E3594" s="740"/>
      <c r="F3594" s="768"/>
      <c r="G3594" s="769"/>
      <c r="H3594" s="770">
        <f>SUM(H3592:H3593)</f>
        <v>53.26</v>
      </c>
    </row>
    <row r="3595" spans="1:10" s="579" customFormat="1">
      <c r="A3595" s="601"/>
      <c r="B3595" s="780"/>
      <c r="C3595" s="780"/>
      <c r="D3595" s="780"/>
      <c r="E3595" s="740"/>
      <c r="F3595" s="768"/>
      <c r="G3595" s="769"/>
      <c r="H3595" s="770"/>
      <c r="I3595" s="400"/>
      <c r="J3595" s="404"/>
    </row>
    <row r="3596" spans="1:10" s="169" customFormat="1" ht="15">
      <c r="A3596" s="756">
        <v>21</v>
      </c>
      <c r="B3596" s="975" t="s">
        <v>1231</v>
      </c>
      <c r="C3596" s="975"/>
      <c r="D3596" s="975"/>
      <c r="E3596" s="975"/>
      <c r="F3596" s="975"/>
      <c r="G3596" s="766"/>
      <c r="H3596" s="767"/>
      <c r="I3596" s="327"/>
      <c r="J3596" s="340"/>
    </row>
    <row r="3597" spans="1:10" ht="15">
      <c r="A3597" s="403" t="s">
        <v>2599</v>
      </c>
      <c r="B3597" s="961" t="s">
        <v>1254</v>
      </c>
      <c r="C3597" s="961"/>
      <c r="D3597" s="961"/>
      <c r="E3597" s="961"/>
      <c r="F3597" s="961"/>
      <c r="G3597" s="406"/>
      <c r="H3597" s="403" t="s">
        <v>88</v>
      </c>
    </row>
    <row r="3598" spans="1:10">
      <c r="A3598" s="398"/>
      <c r="B3598" s="405" t="s">
        <v>2086</v>
      </c>
      <c r="C3598" s="231" t="s">
        <v>16</v>
      </c>
      <c r="D3598" s="401">
        <v>0.25</v>
      </c>
      <c r="E3598" s="959">
        <v>14.22</v>
      </c>
      <c r="F3598" s="959"/>
      <c r="G3598" s="958">
        <f t="shared" ref="G3598" si="142">ROUND(D3598*E3598,2)</f>
        <v>3.56</v>
      </c>
      <c r="H3598" s="958"/>
    </row>
    <row r="3599" spans="1:10">
      <c r="A3599" s="398"/>
      <c r="B3599" s="405" t="s">
        <v>2087</v>
      </c>
      <c r="C3599" s="231" t="s">
        <v>112</v>
      </c>
      <c r="D3599" s="401">
        <v>0.24</v>
      </c>
      <c r="E3599" s="959">
        <v>1.62</v>
      </c>
      <c r="F3599" s="959">
        <v>1.27</v>
      </c>
      <c r="G3599" s="958">
        <f>ROUND(D3599*E3599,2)</f>
        <v>0.39</v>
      </c>
      <c r="H3599" s="958"/>
    </row>
    <row r="3600" spans="1:10">
      <c r="A3600" s="398"/>
      <c r="B3600" s="405" t="s">
        <v>1058</v>
      </c>
      <c r="C3600" s="231" t="s">
        <v>612</v>
      </c>
      <c r="D3600" s="401">
        <v>0.2</v>
      </c>
      <c r="E3600" s="959">
        <f>Insumos!C1212</f>
        <v>3.2396000000000003</v>
      </c>
      <c r="F3600" s="959"/>
      <c r="G3600" s="958">
        <f t="shared" ref="G3600:G3603" si="143">ROUND(D3600*E3600,2)</f>
        <v>0.65</v>
      </c>
      <c r="H3600" s="958"/>
    </row>
    <row r="3601" spans="1:10">
      <c r="A3601" s="398"/>
      <c r="B3601" s="405" t="s">
        <v>2088</v>
      </c>
      <c r="C3601" s="231" t="s">
        <v>15</v>
      </c>
      <c r="D3601" s="401">
        <v>10</v>
      </c>
      <c r="E3601" s="959">
        <v>0.4</v>
      </c>
      <c r="F3601" s="959"/>
      <c r="G3601" s="958">
        <f t="shared" si="143"/>
        <v>4</v>
      </c>
      <c r="H3601" s="958"/>
    </row>
    <row r="3602" spans="1:10">
      <c r="A3602" s="398"/>
      <c r="B3602" s="405" t="s">
        <v>2089</v>
      </c>
      <c r="C3602" s="231" t="s">
        <v>14</v>
      </c>
      <c r="D3602" s="401">
        <v>25</v>
      </c>
      <c r="E3602" s="959">
        <v>0.09</v>
      </c>
      <c r="F3602" s="959"/>
      <c r="G3602" s="958">
        <f t="shared" si="143"/>
        <v>2.25</v>
      </c>
      <c r="H3602" s="958"/>
    </row>
    <row r="3603" spans="1:10">
      <c r="A3603" s="398"/>
      <c r="B3603" s="405" t="s">
        <v>2090</v>
      </c>
      <c r="C3603" s="231" t="s">
        <v>15</v>
      </c>
      <c r="D3603" s="401">
        <v>30</v>
      </c>
      <c r="E3603" s="959">
        <v>4.95</v>
      </c>
      <c r="F3603" s="959"/>
      <c r="G3603" s="958">
        <f t="shared" si="143"/>
        <v>148.5</v>
      </c>
      <c r="H3603" s="958"/>
    </row>
    <row r="3604" spans="1:10" ht="22.5">
      <c r="A3604" s="398"/>
      <c r="B3604" s="230" t="s">
        <v>2092</v>
      </c>
      <c r="C3604" s="231" t="s">
        <v>14</v>
      </c>
      <c r="D3604" s="401">
        <v>1</v>
      </c>
      <c r="E3604" s="959">
        <f>Insumos!C1136</f>
        <v>2370.5500000000002</v>
      </c>
      <c r="F3604" s="959"/>
      <c r="G3604" s="958">
        <f t="shared" ref="G3604:G3608" si="144">ROUND(D3604*E3604,2)</f>
        <v>2370.5500000000002</v>
      </c>
      <c r="H3604" s="958"/>
    </row>
    <row r="3605" spans="1:10">
      <c r="A3605" s="398"/>
      <c r="B3605" s="230" t="s">
        <v>1252</v>
      </c>
      <c r="C3605" s="231" t="s">
        <v>15</v>
      </c>
      <c r="D3605" s="401">
        <v>15</v>
      </c>
      <c r="E3605" s="959">
        <f>Insumos!C1137</f>
        <v>12.6126</v>
      </c>
      <c r="F3605" s="959"/>
      <c r="G3605" s="958">
        <f t="shared" si="144"/>
        <v>189.19</v>
      </c>
      <c r="H3605" s="958"/>
    </row>
    <row r="3606" spans="1:10">
      <c r="A3606" s="398"/>
      <c r="B3606" s="230" t="s">
        <v>1253</v>
      </c>
      <c r="C3606" s="231" t="s">
        <v>15</v>
      </c>
      <c r="D3606" s="401">
        <v>10</v>
      </c>
      <c r="E3606" s="959">
        <f>Insumos!C1138</f>
        <v>37.246299999999998</v>
      </c>
      <c r="F3606" s="959"/>
      <c r="G3606" s="958">
        <f t="shared" si="144"/>
        <v>372.46</v>
      </c>
      <c r="H3606" s="958"/>
    </row>
    <row r="3607" spans="1:10">
      <c r="A3607" s="398"/>
      <c r="B3607" s="230" t="s">
        <v>517</v>
      </c>
      <c r="C3607" s="231" t="s">
        <v>112</v>
      </c>
      <c r="D3607" s="401">
        <v>0.4</v>
      </c>
      <c r="E3607" s="959">
        <f>Insumos!C50</f>
        <v>8.6722999999999999</v>
      </c>
      <c r="F3607" s="959"/>
      <c r="G3607" s="958">
        <f t="shared" si="144"/>
        <v>3.47</v>
      </c>
      <c r="H3607" s="958"/>
    </row>
    <row r="3608" spans="1:10">
      <c r="A3608" s="398"/>
      <c r="B3608" s="230" t="s">
        <v>516</v>
      </c>
      <c r="C3608" s="231" t="s">
        <v>112</v>
      </c>
      <c r="D3608" s="401">
        <v>0.4</v>
      </c>
      <c r="E3608" s="959">
        <f>Insumos!C57</f>
        <v>7.0706999999999995</v>
      </c>
      <c r="F3608" s="959"/>
      <c r="G3608" s="958">
        <f t="shared" si="144"/>
        <v>2.83</v>
      </c>
      <c r="H3608" s="958"/>
    </row>
    <row r="3609" spans="1:10">
      <c r="A3609" s="398"/>
      <c r="B3609" s="230" t="s">
        <v>513</v>
      </c>
      <c r="C3609" s="231" t="s">
        <v>112</v>
      </c>
      <c r="D3609" s="401">
        <v>4</v>
      </c>
      <c r="E3609" s="959">
        <f>Insumos!C49</f>
        <v>12.2759</v>
      </c>
      <c r="F3609" s="959"/>
      <c r="G3609" s="958">
        <f>ROUND(D3609*E3609,2)</f>
        <v>49.1</v>
      </c>
      <c r="H3609" s="958"/>
    </row>
    <row r="3610" spans="1:10">
      <c r="A3610" s="398"/>
      <c r="B3610" s="230" t="s">
        <v>1433</v>
      </c>
      <c r="C3610" s="231" t="s">
        <v>112</v>
      </c>
      <c r="D3610" s="401">
        <v>4</v>
      </c>
      <c r="E3610" s="959">
        <f>Insumos!C1069</f>
        <v>18.427500000000002</v>
      </c>
      <c r="F3610" s="959"/>
      <c r="G3610" s="958">
        <f>ROUND(D3610*E3610,2)</f>
        <v>73.709999999999994</v>
      </c>
      <c r="H3610" s="958"/>
    </row>
    <row r="3611" spans="1:10" s="406" customFormat="1" ht="15">
      <c r="A3611" s="398"/>
      <c r="B3611" s="955" t="s">
        <v>536</v>
      </c>
      <c r="C3611" s="955"/>
      <c r="D3611" s="955"/>
      <c r="E3611" s="389"/>
      <c r="F3611" s="409"/>
      <c r="G3611" s="410"/>
      <c r="H3611" s="249">
        <f>SUM(G3598:H3606)</f>
        <v>3091.55</v>
      </c>
      <c r="I3611" s="407"/>
      <c r="J3611" s="408"/>
    </row>
    <row r="3612" spans="1:10">
      <c r="A3612" s="398"/>
      <c r="B3612" s="955" t="s">
        <v>537</v>
      </c>
      <c r="C3612" s="955"/>
      <c r="D3612" s="955"/>
      <c r="E3612" s="389"/>
      <c r="F3612" s="409"/>
      <c r="G3612" s="410"/>
      <c r="H3612" s="249">
        <f>SUM(G3607:H3610)</f>
        <v>129.11000000000001</v>
      </c>
    </row>
    <row r="3613" spans="1:10">
      <c r="A3613" s="398"/>
      <c r="B3613" s="955" t="s">
        <v>1937</v>
      </c>
      <c r="C3613" s="955"/>
      <c r="D3613" s="955"/>
      <c r="E3613" s="389"/>
      <c r="F3613" s="409"/>
      <c r="G3613" s="410"/>
      <c r="H3613" s="249">
        <f>SUM(H3611:H3612)</f>
        <v>3220.6600000000003</v>
      </c>
    </row>
    <row r="3614" spans="1:10">
      <c r="A3614" s="398"/>
      <c r="B3614" s="955" t="s">
        <v>538</v>
      </c>
      <c r="C3614" s="955"/>
      <c r="D3614" s="955"/>
      <c r="E3614" s="389"/>
      <c r="F3614" s="411" t="s">
        <v>539</v>
      </c>
      <c r="G3614" s="410"/>
      <c r="H3614" s="249">
        <f t="shared" ref="H3614" si="145">ROUND(H3613*F3614,2)</f>
        <v>803.88</v>
      </c>
    </row>
    <row r="3615" spans="1:10">
      <c r="A3615" s="398"/>
      <c r="B3615" s="956" t="s">
        <v>540</v>
      </c>
      <c r="C3615" s="956"/>
      <c r="D3615" s="956"/>
      <c r="E3615" s="740"/>
      <c r="F3615" s="768"/>
      <c r="G3615" s="769"/>
      <c r="H3615" s="770">
        <f>SUM(H3613:H3614)</f>
        <v>4024.5400000000004</v>
      </c>
    </row>
    <row r="3616" spans="1:10">
      <c r="A3616" s="398"/>
      <c r="B3616" s="230"/>
      <c r="C3616" s="423"/>
      <c r="D3616" s="423"/>
      <c r="E3616" s="389"/>
      <c r="F3616" s="409"/>
      <c r="G3616" s="410"/>
      <c r="H3616" s="249"/>
    </row>
    <row r="3617" spans="1:8" ht="15">
      <c r="A3617" s="403" t="s">
        <v>2600</v>
      </c>
      <c r="B3617" s="961" t="s">
        <v>1255</v>
      </c>
      <c r="C3617" s="961"/>
      <c r="D3617" s="961"/>
      <c r="E3617" s="961"/>
      <c r="F3617" s="961"/>
      <c r="G3617" s="406"/>
      <c r="H3617" s="403" t="s">
        <v>88</v>
      </c>
    </row>
    <row r="3618" spans="1:8">
      <c r="A3618" s="398"/>
      <c r="B3618" s="405" t="s">
        <v>2086</v>
      </c>
      <c r="C3618" s="231" t="s">
        <v>16</v>
      </c>
      <c r="D3618" s="401">
        <v>0.25</v>
      </c>
      <c r="E3618" s="959">
        <f>E3598</f>
        <v>14.22</v>
      </c>
      <c r="F3618" s="959"/>
      <c r="G3618" s="958">
        <f t="shared" ref="G3618:G3623" si="146">ROUND(D3618*E3618,2)</f>
        <v>3.56</v>
      </c>
      <c r="H3618" s="958"/>
    </row>
    <row r="3619" spans="1:8">
      <c r="A3619" s="398"/>
      <c r="B3619" s="405" t="s">
        <v>2087</v>
      </c>
      <c r="C3619" s="231" t="s">
        <v>112</v>
      </c>
      <c r="D3619" s="401">
        <v>0.24</v>
      </c>
      <c r="E3619" s="959">
        <f>E3599</f>
        <v>1.62</v>
      </c>
      <c r="F3619" s="959">
        <v>1.27</v>
      </c>
      <c r="G3619" s="958">
        <f>ROUND(D3619*E3619,2)</f>
        <v>0.39</v>
      </c>
      <c r="H3619" s="958"/>
    </row>
    <row r="3620" spans="1:8">
      <c r="A3620" s="398"/>
      <c r="B3620" s="405" t="s">
        <v>1058</v>
      </c>
      <c r="C3620" s="231" t="s">
        <v>612</v>
      </c>
      <c r="D3620" s="401">
        <v>0.2</v>
      </c>
      <c r="E3620" s="959">
        <f>E3600</f>
        <v>3.2396000000000003</v>
      </c>
      <c r="F3620" s="959"/>
      <c r="G3620" s="958">
        <f t="shared" si="146"/>
        <v>0.65</v>
      </c>
      <c r="H3620" s="958"/>
    </row>
    <row r="3621" spans="1:8">
      <c r="A3621" s="398"/>
      <c r="B3621" s="405" t="s">
        <v>2088</v>
      </c>
      <c r="C3621" s="231" t="s">
        <v>15</v>
      </c>
      <c r="D3621" s="401">
        <v>10</v>
      </c>
      <c r="E3621" s="959">
        <v>0.4</v>
      </c>
      <c r="F3621" s="959"/>
      <c r="G3621" s="958">
        <f t="shared" si="146"/>
        <v>4</v>
      </c>
      <c r="H3621" s="958"/>
    </row>
    <row r="3622" spans="1:8">
      <c r="A3622" s="398"/>
      <c r="B3622" s="405" t="s">
        <v>2089</v>
      </c>
      <c r="C3622" s="231" t="s">
        <v>14</v>
      </c>
      <c r="D3622" s="401">
        <v>25</v>
      </c>
      <c r="E3622" s="959">
        <v>0.09</v>
      </c>
      <c r="F3622" s="959"/>
      <c r="G3622" s="958">
        <f t="shared" si="146"/>
        <v>2.25</v>
      </c>
      <c r="H3622" s="958"/>
    </row>
    <row r="3623" spans="1:8">
      <c r="A3623" s="398"/>
      <c r="B3623" s="405" t="s">
        <v>2090</v>
      </c>
      <c r="C3623" s="231" t="s">
        <v>15</v>
      </c>
      <c r="D3623" s="401">
        <v>30</v>
      </c>
      <c r="E3623" s="959">
        <f>E3603</f>
        <v>4.95</v>
      </c>
      <c r="F3623" s="959"/>
      <c r="G3623" s="958">
        <f t="shared" si="146"/>
        <v>148.5</v>
      </c>
      <c r="H3623" s="958"/>
    </row>
    <row r="3624" spans="1:8" ht="22.5">
      <c r="A3624" s="398"/>
      <c r="B3624" s="405" t="s">
        <v>2085</v>
      </c>
      <c r="C3624" s="231" t="s">
        <v>14</v>
      </c>
      <c r="D3624" s="401">
        <v>1</v>
      </c>
      <c r="E3624" s="959">
        <f>Insumos!C1142</f>
        <v>3024.8855000000003</v>
      </c>
      <c r="F3624" s="959"/>
      <c r="G3624" s="958">
        <f>ROUND(D3624*E3624,2)</f>
        <v>3024.89</v>
      </c>
      <c r="H3624" s="958"/>
    </row>
    <row r="3625" spans="1:8">
      <c r="A3625" s="398"/>
      <c r="B3625" s="230" t="s">
        <v>1252</v>
      </c>
      <c r="C3625" s="231" t="s">
        <v>15</v>
      </c>
      <c r="D3625" s="401">
        <v>15</v>
      </c>
      <c r="E3625" s="959">
        <f>Insumos!C1143</f>
        <v>12.6126</v>
      </c>
      <c r="F3625" s="959"/>
      <c r="G3625" s="958">
        <f>ROUND(D3625*F3625,2)</f>
        <v>0</v>
      </c>
      <c r="H3625" s="958"/>
    </row>
    <row r="3626" spans="1:8">
      <c r="A3626" s="398"/>
      <c r="B3626" s="230" t="s">
        <v>1253</v>
      </c>
      <c r="C3626" s="231" t="s">
        <v>15</v>
      </c>
      <c r="D3626" s="401">
        <v>15</v>
      </c>
      <c r="E3626" s="959">
        <f>Insumos!C1144</f>
        <v>37.246299999999998</v>
      </c>
      <c r="F3626" s="959"/>
      <c r="G3626" s="958">
        <f>ROUND(D3626*F3626,2)</f>
        <v>0</v>
      </c>
      <c r="H3626" s="958"/>
    </row>
    <row r="3627" spans="1:8">
      <c r="A3627" s="398"/>
      <c r="B3627" s="230" t="s">
        <v>517</v>
      </c>
      <c r="C3627" s="231" t="s">
        <v>112</v>
      </c>
      <c r="D3627" s="401">
        <v>0.4</v>
      </c>
      <c r="E3627" s="959">
        <f>E3607</f>
        <v>8.6722999999999999</v>
      </c>
      <c r="F3627" s="959"/>
      <c r="G3627" s="958">
        <f>ROUND(D3627*F3627,2)</f>
        <v>0</v>
      </c>
      <c r="H3627" s="958"/>
    </row>
    <row r="3628" spans="1:8">
      <c r="A3628" s="398"/>
      <c r="B3628" s="230" t="s">
        <v>516</v>
      </c>
      <c r="C3628" s="231" t="s">
        <v>112</v>
      </c>
      <c r="D3628" s="401">
        <v>0.4</v>
      </c>
      <c r="E3628" s="959">
        <f>E3608</f>
        <v>7.0706999999999995</v>
      </c>
      <c r="F3628" s="959"/>
      <c r="G3628" s="958"/>
      <c r="H3628" s="958"/>
    </row>
    <row r="3629" spans="1:8">
      <c r="A3629" s="398"/>
      <c r="B3629" s="230" t="s">
        <v>513</v>
      </c>
      <c r="C3629" s="231" t="s">
        <v>112</v>
      </c>
      <c r="D3629" s="401">
        <v>4</v>
      </c>
      <c r="E3629" s="959">
        <f>Insumos!C1146</f>
        <v>12.2759</v>
      </c>
      <c r="F3629" s="959"/>
      <c r="G3629" s="958">
        <f>ROUND(D3629*E3629,2)</f>
        <v>49.1</v>
      </c>
      <c r="H3629" s="958"/>
    </row>
    <row r="3630" spans="1:8">
      <c r="A3630" s="398"/>
      <c r="B3630" s="230" t="s">
        <v>1433</v>
      </c>
      <c r="C3630" s="231" t="s">
        <v>112</v>
      </c>
      <c r="D3630" s="401">
        <v>4</v>
      </c>
      <c r="E3630" s="959">
        <f>Insumos!C1069</f>
        <v>18.427500000000002</v>
      </c>
      <c r="F3630" s="959"/>
      <c r="G3630" s="958">
        <f>ROUND(D3630*E3630,2)</f>
        <v>73.709999999999994</v>
      </c>
      <c r="H3630" s="958"/>
    </row>
    <row r="3631" spans="1:8">
      <c r="A3631" s="398"/>
      <c r="B3631" s="955" t="s">
        <v>536</v>
      </c>
      <c r="C3631" s="955"/>
      <c r="D3631" s="955"/>
      <c r="E3631" s="389"/>
      <c r="F3631" s="409"/>
      <c r="G3631" s="410"/>
      <c r="H3631" s="249">
        <f>SUM(G3618:H3626)</f>
        <v>3184.24</v>
      </c>
    </row>
    <row r="3632" spans="1:8">
      <c r="A3632" s="398"/>
      <c r="B3632" s="955" t="s">
        <v>537</v>
      </c>
      <c r="C3632" s="955"/>
      <c r="D3632" s="955"/>
      <c r="E3632" s="389"/>
      <c r="F3632" s="409"/>
      <c r="G3632" s="410"/>
      <c r="H3632" s="249">
        <f>SUM(G3627:H3630)</f>
        <v>122.81</v>
      </c>
    </row>
    <row r="3633" spans="1:10">
      <c r="A3633" s="398"/>
      <c r="B3633" s="955" t="s">
        <v>1937</v>
      </c>
      <c r="C3633" s="955"/>
      <c r="D3633" s="955"/>
      <c r="E3633" s="389"/>
      <c r="F3633" s="409"/>
      <c r="G3633" s="410"/>
      <c r="H3633" s="249">
        <f>SUM(H3631:H3632)</f>
        <v>3307.0499999999997</v>
      </c>
    </row>
    <row r="3634" spans="1:10">
      <c r="A3634" s="398"/>
      <c r="B3634" s="955" t="s">
        <v>538</v>
      </c>
      <c r="C3634" s="955"/>
      <c r="D3634" s="955"/>
      <c r="E3634" s="389"/>
      <c r="F3634" s="411" t="s">
        <v>539</v>
      </c>
      <c r="G3634" s="410"/>
      <c r="H3634" s="249">
        <f t="shared" ref="H3634" si="147">ROUND(H3633*F3634,2)</f>
        <v>825.44</v>
      </c>
    </row>
    <row r="3635" spans="1:10">
      <c r="A3635" s="398"/>
      <c r="B3635" s="956" t="s">
        <v>540</v>
      </c>
      <c r="C3635" s="956"/>
      <c r="D3635" s="956"/>
      <c r="E3635" s="740"/>
      <c r="F3635" s="768"/>
      <c r="G3635" s="769"/>
      <c r="H3635" s="770">
        <f>SUM(H3633:H3634)</f>
        <v>4132.49</v>
      </c>
    </row>
    <row r="3636" spans="1:10" s="579" customFormat="1">
      <c r="A3636" s="601"/>
      <c r="B3636" s="780"/>
      <c r="C3636" s="780"/>
      <c r="D3636" s="780"/>
      <c r="E3636" s="740"/>
      <c r="F3636" s="768"/>
      <c r="G3636" s="769"/>
      <c r="H3636" s="770"/>
      <c r="I3636" s="400"/>
      <c r="J3636" s="404"/>
    </row>
    <row r="3637" spans="1:10" s="406" customFormat="1" ht="15">
      <c r="A3637" s="403" t="s">
        <v>2601</v>
      </c>
      <c r="B3637" s="961" t="s">
        <v>1256</v>
      </c>
      <c r="C3637" s="961"/>
      <c r="D3637" s="961"/>
      <c r="E3637" s="961"/>
      <c r="F3637" s="961"/>
      <c r="H3637" s="403" t="s">
        <v>88</v>
      </c>
      <c r="I3637" s="407"/>
      <c r="J3637" s="408"/>
    </row>
    <row r="3638" spans="1:10">
      <c r="A3638" s="398"/>
      <c r="B3638" s="405" t="s">
        <v>2086</v>
      </c>
      <c r="C3638" s="231" t="s">
        <v>16</v>
      </c>
      <c r="D3638" s="401">
        <v>0.25</v>
      </c>
      <c r="E3638" s="957">
        <f>E3618</f>
        <v>14.22</v>
      </c>
      <c r="F3638" s="957"/>
      <c r="G3638" s="958">
        <f t="shared" ref="G3638" si="148">ROUND(D3638*E3638,2)</f>
        <v>3.56</v>
      </c>
      <c r="H3638" s="958"/>
    </row>
    <row r="3639" spans="1:10">
      <c r="A3639" s="398"/>
      <c r="B3639" s="405" t="s">
        <v>2087</v>
      </c>
      <c r="C3639" s="231" t="s">
        <v>112</v>
      </c>
      <c r="D3639" s="401">
        <v>0.24</v>
      </c>
      <c r="E3639" s="957">
        <f>E3619</f>
        <v>1.62</v>
      </c>
      <c r="F3639" s="957">
        <v>1.27</v>
      </c>
      <c r="G3639" s="958">
        <f>ROUND(D3639*E3639,2)</f>
        <v>0.39</v>
      </c>
      <c r="H3639" s="958"/>
    </row>
    <row r="3640" spans="1:10">
      <c r="A3640" s="398"/>
      <c r="B3640" s="405" t="s">
        <v>1058</v>
      </c>
      <c r="C3640" s="231" t="s">
        <v>612</v>
      </c>
      <c r="D3640" s="401">
        <v>0.2</v>
      </c>
      <c r="E3640" s="957">
        <f>E3620</f>
        <v>3.2396000000000003</v>
      </c>
      <c r="F3640" s="957"/>
      <c r="G3640" s="958">
        <f t="shared" ref="G3640:G3643" si="149">ROUND(D3640*E3640,2)</f>
        <v>0.65</v>
      </c>
      <c r="H3640" s="958"/>
    </row>
    <row r="3641" spans="1:10">
      <c r="A3641" s="398"/>
      <c r="B3641" s="405" t="s">
        <v>2088</v>
      </c>
      <c r="C3641" s="231" t="s">
        <v>15</v>
      </c>
      <c r="D3641" s="401">
        <v>10</v>
      </c>
      <c r="E3641" s="957">
        <v>0.4</v>
      </c>
      <c r="F3641" s="957"/>
      <c r="G3641" s="958">
        <f t="shared" si="149"/>
        <v>4</v>
      </c>
      <c r="H3641" s="958"/>
    </row>
    <row r="3642" spans="1:10">
      <c r="A3642" s="398"/>
      <c r="B3642" s="405" t="s">
        <v>2089</v>
      </c>
      <c r="C3642" s="231" t="s">
        <v>14</v>
      </c>
      <c r="D3642" s="401">
        <v>25</v>
      </c>
      <c r="E3642" s="957">
        <v>0.09</v>
      </c>
      <c r="F3642" s="957"/>
      <c r="G3642" s="958">
        <f t="shared" si="149"/>
        <v>2.25</v>
      </c>
      <c r="H3642" s="958"/>
    </row>
    <row r="3643" spans="1:10">
      <c r="A3643" s="398"/>
      <c r="B3643" s="405" t="s">
        <v>2090</v>
      </c>
      <c r="C3643" s="231" t="s">
        <v>15</v>
      </c>
      <c r="D3643" s="401">
        <v>30</v>
      </c>
      <c r="E3643" s="957">
        <f>E3623</f>
        <v>4.95</v>
      </c>
      <c r="F3643" s="957"/>
      <c r="G3643" s="958">
        <f t="shared" si="149"/>
        <v>148.5</v>
      </c>
      <c r="H3643" s="958"/>
    </row>
    <row r="3644" spans="1:10" ht="22.5">
      <c r="A3644" s="398"/>
      <c r="B3644" s="230" t="s">
        <v>2091</v>
      </c>
      <c r="C3644" s="231" t="s">
        <v>14</v>
      </c>
      <c r="D3644" s="401">
        <v>1</v>
      </c>
      <c r="E3644" s="957">
        <f>Insumos!C1148</f>
        <v>3005.73</v>
      </c>
      <c r="F3644" s="957"/>
      <c r="G3644" s="958">
        <f>ROUND(D3644*E3644,2)</f>
        <v>3005.73</v>
      </c>
      <c r="H3644" s="958"/>
    </row>
    <row r="3645" spans="1:10">
      <c r="A3645" s="398"/>
      <c r="B3645" s="230" t="s">
        <v>1252</v>
      </c>
      <c r="C3645" s="231" t="s">
        <v>15</v>
      </c>
      <c r="D3645" s="401">
        <v>10</v>
      </c>
      <c r="E3645" s="957">
        <f>Insumos!C1149</f>
        <v>12.6126</v>
      </c>
      <c r="F3645" s="957"/>
      <c r="G3645" s="958">
        <f t="shared" ref="G3645:G3648" si="150">ROUND(D3645*E3645,2)</f>
        <v>126.13</v>
      </c>
      <c r="H3645" s="958"/>
    </row>
    <row r="3646" spans="1:10">
      <c r="A3646" s="398"/>
      <c r="B3646" s="230" t="s">
        <v>1253</v>
      </c>
      <c r="C3646" s="231" t="s">
        <v>15</v>
      </c>
      <c r="D3646" s="401">
        <v>10</v>
      </c>
      <c r="E3646" s="957">
        <f>Insumos!C1150</f>
        <v>37.246299999999998</v>
      </c>
      <c r="F3646" s="957"/>
      <c r="G3646" s="958">
        <f t="shared" si="150"/>
        <v>372.46</v>
      </c>
      <c r="H3646" s="958"/>
    </row>
    <row r="3647" spans="1:10">
      <c r="A3647" s="398"/>
      <c r="B3647" s="230" t="s">
        <v>517</v>
      </c>
      <c r="C3647" s="231" t="s">
        <v>112</v>
      </c>
      <c r="D3647" s="401">
        <v>0.4</v>
      </c>
      <c r="E3647" s="957">
        <f>E3627</f>
        <v>8.6722999999999999</v>
      </c>
      <c r="F3647" s="957"/>
      <c r="G3647" s="958">
        <f t="shared" si="150"/>
        <v>3.47</v>
      </c>
      <c r="H3647" s="958"/>
    </row>
    <row r="3648" spans="1:10">
      <c r="A3648" s="398"/>
      <c r="B3648" s="230" t="s">
        <v>516</v>
      </c>
      <c r="C3648" s="231" t="s">
        <v>112</v>
      </c>
      <c r="D3648" s="401">
        <v>0.4</v>
      </c>
      <c r="E3648" s="957">
        <f>E3628</f>
        <v>7.0706999999999995</v>
      </c>
      <c r="F3648" s="957"/>
      <c r="G3648" s="958">
        <f t="shared" si="150"/>
        <v>2.83</v>
      </c>
      <c r="H3648" s="958"/>
    </row>
    <row r="3649" spans="1:10">
      <c r="A3649" s="398"/>
      <c r="B3649" s="230" t="s">
        <v>513</v>
      </c>
      <c r="C3649" s="231" t="s">
        <v>112</v>
      </c>
      <c r="D3649" s="401">
        <v>4</v>
      </c>
      <c r="E3649" s="957">
        <f>E3629</f>
        <v>12.2759</v>
      </c>
      <c r="F3649" s="957"/>
      <c r="G3649" s="958">
        <f>ROUND(D3649*E3649,2)</f>
        <v>49.1</v>
      </c>
      <c r="H3649" s="958"/>
    </row>
    <row r="3650" spans="1:10">
      <c r="A3650" s="398"/>
      <c r="B3650" s="230" t="s">
        <v>1433</v>
      </c>
      <c r="C3650" s="231" t="s">
        <v>112</v>
      </c>
      <c r="D3650" s="401">
        <v>4</v>
      </c>
      <c r="E3650" s="957">
        <f>E3630</f>
        <v>18.427500000000002</v>
      </c>
      <c r="F3650" s="957"/>
      <c r="G3650" s="958">
        <f>ROUND(D3650*E3650,2)</f>
        <v>73.709999999999994</v>
      </c>
      <c r="H3650" s="958"/>
    </row>
    <row r="3651" spans="1:10">
      <c r="A3651" s="398"/>
      <c r="B3651" s="955" t="s">
        <v>536</v>
      </c>
      <c r="C3651" s="955"/>
      <c r="D3651" s="955"/>
      <c r="E3651" s="389"/>
      <c r="F3651" s="409"/>
      <c r="G3651" s="410"/>
      <c r="H3651" s="249">
        <f>SUM(G3638:H3646)</f>
        <v>3663.67</v>
      </c>
    </row>
    <row r="3652" spans="1:10">
      <c r="A3652" s="398"/>
      <c r="B3652" s="955" t="s">
        <v>537</v>
      </c>
      <c r="C3652" s="955"/>
      <c r="D3652" s="955"/>
      <c r="E3652" s="389"/>
      <c r="F3652" s="409"/>
      <c r="G3652" s="410"/>
      <c r="H3652" s="249">
        <f>SUM(G3647:H3650)</f>
        <v>129.11000000000001</v>
      </c>
    </row>
    <row r="3653" spans="1:10">
      <c r="A3653" s="398"/>
      <c r="B3653" s="955" t="s">
        <v>1937</v>
      </c>
      <c r="C3653" s="955"/>
      <c r="D3653" s="955"/>
      <c r="E3653" s="389"/>
      <c r="F3653" s="409"/>
      <c r="G3653" s="410"/>
      <c r="H3653" s="249">
        <f>SUM(H3651:H3652)</f>
        <v>3792.78</v>
      </c>
    </row>
    <row r="3654" spans="1:10">
      <c r="A3654" s="398"/>
      <c r="B3654" s="955" t="s">
        <v>538</v>
      </c>
      <c r="C3654" s="955"/>
      <c r="D3654" s="955"/>
      <c r="E3654" s="389"/>
      <c r="F3654" s="411" t="s">
        <v>539</v>
      </c>
      <c r="G3654" s="410"/>
      <c r="H3654" s="249">
        <f t="shared" ref="H3654" si="151">ROUND(H3653*F3654,2)</f>
        <v>946.68</v>
      </c>
    </row>
    <row r="3655" spans="1:10">
      <c r="A3655" s="398"/>
      <c r="B3655" s="956" t="s">
        <v>540</v>
      </c>
      <c r="C3655" s="956"/>
      <c r="D3655" s="956"/>
      <c r="E3655" s="740"/>
      <c r="F3655" s="768"/>
      <c r="G3655" s="769"/>
      <c r="H3655" s="770">
        <f>SUM(H3653:H3654)</f>
        <v>4739.46</v>
      </c>
    </row>
    <row r="3656" spans="1:10" s="579" customFormat="1">
      <c r="A3656" s="601"/>
      <c r="B3656" s="780"/>
      <c r="C3656" s="780"/>
      <c r="D3656" s="780"/>
      <c r="E3656" s="740"/>
      <c r="F3656" s="768"/>
      <c r="G3656" s="769"/>
      <c r="H3656" s="770"/>
      <c r="I3656" s="400"/>
      <c r="J3656" s="404"/>
    </row>
    <row r="3657" spans="1:10" s="169" customFormat="1" ht="15">
      <c r="A3657" s="271">
        <v>22</v>
      </c>
      <c r="B3657" s="992" t="s">
        <v>1322</v>
      </c>
      <c r="C3657" s="992"/>
      <c r="D3657" s="992"/>
      <c r="E3657" s="992"/>
      <c r="F3657" s="992"/>
      <c r="G3657" s="764"/>
      <c r="H3657" s="765"/>
      <c r="I3657" s="327"/>
      <c r="J3657" s="340"/>
    </row>
    <row r="3658" spans="1:10" ht="34.15" customHeight="1">
      <c r="A3658" s="403" t="s">
        <v>2602</v>
      </c>
      <c r="B3658" s="961" t="s">
        <v>2112</v>
      </c>
      <c r="C3658" s="961"/>
      <c r="D3658" s="961"/>
      <c r="E3658" s="961"/>
      <c r="F3658" s="961"/>
      <c r="G3658" s="406"/>
      <c r="H3658" s="403" t="s">
        <v>553</v>
      </c>
    </row>
    <row r="3659" spans="1:10" ht="22.5">
      <c r="A3659" s="398"/>
      <c r="B3659" s="471" t="s">
        <v>2112</v>
      </c>
      <c r="C3659" s="231" t="s">
        <v>1261</v>
      </c>
      <c r="D3659" s="401">
        <v>1</v>
      </c>
      <c r="E3659" s="957">
        <f>Insumos!C1205</f>
        <v>983.31869999999992</v>
      </c>
      <c r="F3659" s="957"/>
      <c r="G3659" s="958">
        <f>ROUND(D3659*E3659,2)</f>
        <v>983.32</v>
      </c>
      <c r="H3659" s="958"/>
    </row>
    <row r="3660" spans="1:10">
      <c r="A3660" s="398"/>
      <c r="B3660" s="955" t="s">
        <v>536</v>
      </c>
      <c r="C3660" s="955"/>
      <c r="D3660" s="955"/>
      <c r="E3660" s="389"/>
      <c r="F3660" s="409"/>
      <c r="G3660" s="410"/>
      <c r="H3660" s="249">
        <f>SUM(G3659)</f>
        <v>983.32</v>
      </c>
    </row>
    <row r="3661" spans="1:10">
      <c r="A3661" s="398"/>
      <c r="B3661" s="955" t="s">
        <v>537</v>
      </c>
      <c r="C3661" s="955"/>
      <c r="D3661" s="955"/>
      <c r="E3661" s="389"/>
      <c r="F3661" s="409"/>
      <c r="G3661" s="410"/>
      <c r="H3661" s="249">
        <v>0</v>
      </c>
    </row>
    <row r="3662" spans="1:10">
      <c r="A3662" s="398"/>
      <c r="B3662" s="955" t="s">
        <v>1937</v>
      </c>
      <c r="C3662" s="955"/>
      <c r="D3662" s="955"/>
      <c r="E3662" s="389"/>
      <c r="F3662" s="409"/>
      <c r="G3662" s="410"/>
      <c r="H3662" s="249">
        <f>SUM(H3660:H3661)</f>
        <v>983.32</v>
      </c>
    </row>
    <row r="3663" spans="1:10">
      <c r="A3663" s="398"/>
      <c r="B3663" s="955" t="s">
        <v>538</v>
      </c>
      <c r="C3663" s="955"/>
      <c r="D3663" s="955"/>
      <c r="E3663" s="389"/>
      <c r="F3663" s="466">
        <v>0.1</v>
      </c>
      <c r="G3663" s="410"/>
      <c r="H3663" s="249">
        <f t="shared" ref="H3663" si="152">ROUND(H3662*F3663,2)</f>
        <v>98.33</v>
      </c>
    </row>
    <row r="3664" spans="1:10">
      <c r="A3664" s="398"/>
      <c r="B3664" s="956" t="s">
        <v>540</v>
      </c>
      <c r="C3664" s="956"/>
      <c r="D3664" s="956"/>
      <c r="E3664" s="740"/>
      <c r="F3664" s="768"/>
      <c r="G3664" s="769"/>
      <c r="H3664" s="770">
        <f>SUM(H3662:H3663)</f>
        <v>1081.6500000000001</v>
      </c>
    </row>
    <row r="3665" spans="1:10" s="579" customFormat="1">
      <c r="A3665" s="601"/>
      <c r="B3665" s="780"/>
      <c r="C3665" s="780"/>
      <c r="D3665" s="780"/>
      <c r="E3665" s="740"/>
      <c r="F3665" s="768"/>
      <c r="G3665" s="769"/>
      <c r="H3665" s="770"/>
      <c r="I3665" s="400"/>
      <c r="J3665" s="404"/>
    </row>
    <row r="3666" spans="1:10" ht="15">
      <c r="A3666" s="403" t="s">
        <v>2603</v>
      </c>
      <c r="B3666" s="961" t="s">
        <v>1248</v>
      </c>
      <c r="C3666" s="961"/>
      <c r="D3666" s="961"/>
      <c r="E3666" s="961"/>
      <c r="F3666" s="961"/>
      <c r="G3666" s="406"/>
      <c r="H3666" s="403" t="s">
        <v>553</v>
      </c>
    </row>
    <row r="3667" spans="1:10">
      <c r="A3667" s="398"/>
      <c r="B3667" s="230" t="s">
        <v>1249</v>
      </c>
      <c r="C3667" s="231" t="s">
        <v>88</v>
      </c>
      <c r="D3667" s="401">
        <v>1</v>
      </c>
      <c r="E3667" s="957">
        <f>Insumos!C1206</f>
        <v>2091.5167000000001</v>
      </c>
      <c r="F3667" s="957"/>
      <c r="G3667" s="958">
        <f>ROUND(D3667*E3667,2)</f>
        <v>2091.52</v>
      </c>
      <c r="H3667" s="958"/>
    </row>
    <row r="3668" spans="1:10">
      <c r="A3668" s="398"/>
      <c r="B3668" s="955" t="s">
        <v>536</v>
      </c>
      <c r="C3668" s="955"/>
      <c r="D3668" s="955"/>
      <c r="E3668" s="389"/>
      <c r="F3668" s="409"/>
      <c r="G3668" s="410"/>
      <c r="H3668" s="249">
        <f>SUM(G3667)</f>
        <v>2091.52</v>
      </c>
    </row>
    <row r="3669" spans="1:10">
      <c r="A3669" s="398"/>
      <c r="B3669" s="955" t="s">
        <v>537</v>
      </c>
      <c r="C3669" s="955"/>
      <c r="D3669" s="955"/>
      <c r="E3669" s="389"/>
      <c r="F3669" s="409"/>
      <c r="G3669" s="410"/>
      <c r="H3669" s="249">
        <v>0</v>
      </c>
    </row>
    <row r="3670" spans="1:10">
      <c r="A3670" s="398"/>
      <c r="B3670" s="955" t="s">
        <v>1937</v>
      </c>
      <c r="C3670" s="955"/>
      <c r="D3670" s="955"/>
      <c r="E3670" s="389"/>
      <c r="F3670" s="409"/>
      <c r="G3670" s="410"/>
      <c r="H3670" s="249">
        <f>SUM(H3668:H3669)</f>
        <v>2091.52</v>
      </c>
    </row>
    <row r="3671" spans="1:10">
      <c r="A3671" s="398"/>
      <c r="B3671" s="955" t="s">
        <v>538</v>
      </c>
      <c r="C3671" s="955"/>
      <c r="D3671" s="955"/>
      <c r="E3671" s="389"/>
      <c r="F3671" s="466">
        <v>0.1</v>
      </c>
      <c r="G3671" s="410"/>
      <c r="H3671" s="249">
        <f t="shared" ref="H3671" si="153">ROUND(H3670*F3671,2)</f>
        <v>209.15</v>
      </c>
    </row>
    <row r="3672" spans="1:10">
      <c r="A3672" s="398"/>
      <c r="B3672" s="956" t="s">
        <v>540</v>
      </c>
      <c r="C3672" s="956"/>
      <c r="D3672" s="956"/>
      <c r="E3672" s="740"/>
      <c r="F3672" s="768"/>
      <c r="G3672" s="769"/>
      <c r="H3672" s="770">
        <f>SUM(H3670:H3671)</f>
        <v>2300.67</v>
      </c>
    </row>
    <row r="3673" spans="1:10" s="579" customFormat="1">
      <c r="A3673" s="601"/>
      <c r="B3673" s="780"/>
      <c r="C3673" s="780"/>
      <c r="D3673" s="780"/>
      <c r="E3673" s="740"/>
      <c r="F3673" s="768"/>
      <c r="G3673" s="769"/>
      <c r="H3673" s="770"/>
      <c r="I3673" s="400"/>
      <c r="J3673" s="404"/>
    </row>
    <row r="3674" spans="1:10" ht="43.9" customHeight="1">
      <c r="A3674" s="403" t="s">
        <v>2604</v>
      </c>
      <c r="B3674" s="961" t="s">
        <v>1446</v>
      </c>
      <c r="C3674" s="961"/>
      <c r="D3674" s="961"/>
      <c r="E3674" s="961"/>
      <c r="F3674" s="961"/>
      <c r="G3674" s="406"/>
      <c r="H3674" s="403" t="s">
        <v>553</v>
      </c>
    </row>
    <row r="3675" spans="1:10" ht="33.75">
      <c r="A3675" s="398"/>
      <c r="B3675" s="230" t="s">
        <v>1446</v>
      </c>
      <c r="C3675" s="231" t="s">
        <v>88</v>
      </c>
      <c r="D3675" s="401">
        <v>1</v>
      </c>
      <c r="E3675" s="957">
        <f>Insumos!C1207</f>
        <v>478.06850000000003</v>
      </c>
      <c r="F3675" s="957"/>
      <c r="G3675" s="958">
        <f>ROUND(D3675*E3675,2)</f>
        <v>478.07</v>
      </c>
      <c r="H3675" s="958"/>
    </row>
    <row r="3676" spans="1:10">
      <c r="A3676" s="398"/>
      <c r="B3676" s="955" t="s">
        <v>536</v>
      </c>
      <c r="C3676" s="955"/>
      <c r="D3676" s="955"/>
      <c r="E3676" s="389"/>
      <c r="F3676" s="409"/>
      <c r="G3676" s="410"/>
      <c r="H3676" s="249">
        <f>SUM(G3675)</f>
        <v>478.07</v>
      </c>
    </row>
    <row r="3677" spans="1:10">
      <c r="A3677" s="398"/>
      <c r="B3677" s="955" t="s">
        <v>537</v>
      </c>
      <c r="C3677" s="955"/>
      <c r="D3677" s="955"/>
      <c r="E3677" s="389"/>
      <c r="F3677" s="409"/>
      <c r="G3677" s="410"/>
      <c r="H3677" s="249">
        <v>0</v>
      </c>
    </row>
    <row r="3678" spans="1:10">
      <c r="A3678" s="398"/>
      <c r="B3678" s="955" t="s">
        <v>1937</v>
      </c>
      <c r="C3678" s="955"/>
      <c r="D3678" s="955"/>
      <c r="E3678" s="389"/>
      <c r="F3678" s="409"/>
      <c r="G3678" s="410"/>
      <c r="H3678" s="249">
        <f>SUM(H3676:H3677)</f>
        <v>478.07</v>
      </c>
    </row>
    <row r="3679" spans="1:10">
      <c r="A3679" s="398"/>
      <c r="B3679" s="955" t="s">
        <v>538</v>
      </c>
      <c r="C3679" s="955"/>
      <c r="D3679" s="955"/>
      <c r="E3679" s="389"/>
      <c r="F3679" s="466">
        <v>0.1</v>
      </c>
      <c r="G3679" s="410"/>
      <c r="H3679" s="249">
        <f t="shared" ref="H3679" si="154">ROUND(H3678*F3679,2)</f>
        <v>47.81</v>
      </c>
    </row>
    <row r="3680" spans="1:10">
      <c r="A3680" s="398"/>
      <c r="B3680" s="956" t="s">
        <v>540</v>
      </c>
      <c r="C3680" s="956"/>
      <c r="D3680" s="956"/>
      <c r="E3680" s="740"/>
      <c r="F3680" s="768"/>
      <c r="G3680" s="769"/>
      <c r="H3680" s="770">
        <f>SUM(H3678:H3679)</f>
        <v>525.88</v>
      </c>
    </row>
    <row r="3681" spans="1:10" s="579" customFormat="1">
      <c r="A3681" s="601"/>
      <c r="B3681" s="780"/>
      <c r="C3681" s="780"/>
      <c r="D3681" s="780"/>
      <c r="E3681" s="740"/>
      <c r="F3681" s="768"/>
      <c r="G3681" s="769"/>
      <c r="H3681" s="770"/>
      <c r="I3681" s="400"/>
      <c r="J3681" s="404"/>
    </row>
    <row r="3682" spans="1:10" ht="15">
      <c r="A3682" s="403" t="s">
        <v>2605</v>
      </c>
      <c r="B3682" s="961" t="s">
        <v>1316</v>
      </c>
      <c r="C3682" s="961"/>
      <c r="D3682" s="961"/>
      <c r="E3682" s="961"/>
      <c r="F3682" s="961"/>
      <c r="G3682" s="406"/>
      <c r="H3682" s="403" t="s">
        <v>88</v>
      </c>
    </row>
    <row r="3683" spans="1:10">
      <c r="A3683" s="398"/>
      <c r="B3683" s="230" t="s">
        <v>1317</v>
      </c>
      <c r="C3683" s="231" t="s">
        <v>88</v>
      </c>
      <c r="D3683" s="401">
        <v>1</v>
      </c>
      <c r="E3683" s="957">
        <f>Insumos!C1208</f>
        <v>49.14</v>
      </c>
      <c r="F3683" s="957"/>
      <c r="G3683" s="958">
        <f>ROUND(D3683*E3683,2)</f>
        <v>49.14</v>
      </c>
      <c r="H3683" s="958"/>
    </row>
    <row r="3684" spans="1:10">
      <c r="A3684" s="398"/>
      <c r="B3684" s="230" t="s">
        <v>576</v>
      </c>
      <c r="C3684" s="231" t="s">
        <v>112</v>
      </c>
      <c r="D3684" s="401">
        <v>0.2</v>
      </c>
      <c r="E3684" s="957">
        <f>Insumos!C1209</f>
        <v>8.6722999999999999</v>
      </c>
      <c r="F3684" s="957"/>
      <c r="G3684" s="958">
        <f>ROUND(D3684*E3684,2)</f>
        <v>1.73</v>
      </c>
      <c r="H3684" s="958"/>
    </row>
    <row r="3685" spans="1:10">
      <c r="A3685" s="398"/>
      <c r="B3685" s="230" t="s">
        <v>535</v>
      </c>
      <c r="C3685" s="231" t="s">
        <v>112</v>
      </c>
      <c r="D3685" s="401">
        <v>0.2</v>
      </c>
      <c r="E3685" s="957">
        <f>Insumos!C1210</f>
        <v>6.4064000000000005</v>
      </c>
      <c r="F3685" s="957"/>
      <c r="G3685" s="958">
        <f>ROUND(D3685*E3685,2)</f>
        <v>1.28</v>
      </c>
      <c r="H3685" s="958"/>
    </row>
    <row r="3686" spans="1:10">
      <c r="A3686" s="398"/>
      <c r="B3686" s="955" t="s">
        <v>536</v>
      </c>
      <c r="C3686" s="955"/>
      <c r="D3686" s="955"/>
      <c r="E3686" s="389"/>
      <c r="F3686" s="409"/>
      <c r="G3686" s="410"/>
      <c r="H3686" s="249">
        <f>SUM(G3683)</f>
        <v>49.14</v>
      </c>
    </row>
    <row r="3687" spans="1:10">
      <c r="A3687" s="398"/>
      <c r="B3687" s="955" t="s">
        <v>537</v>
      </c>
      <c r="C3687" s="955"/>
      <c r="D3687" s="955"/>
      <c r="E3687" s="389"/>
      <c r="F3687" s="409"/>
      <c r="G3687" s="410"/>
      <c r="H3687" s="249">
        <f>SUM(G3684:H3685)</f>
        <v>3.01</v>
      </c>
    </row>
    <row r="3688" spans="1:10">
      <c r="A3688" s="398"/>
      <c r="B3688" s="955" t="s">
        <v>1937</v>
      </c>
      <c r="C3688" s="955"/>
      <c r="D3688" s="955"/>
      <c r="E3688" s="389"/>
      <c r="F3688" s="409"/>
      <c r="G3688" s="410"/>
      <c r="H3688" s="249">
        <f>SUM(H3686:H3687)</f>
        <v>52.15</v>
      </c>
    </row>
    <row r="3689" spans="1:10">
      <c r="A3689" s="398"/>
      <c r="B3689" s="955" t="s">
        <v>538</v>
      </c>
      <c r="C3689" s="955"/>
      <c r="D3689" s="955"/>
      <c r="E3689" s="389"/>
      <c r="F3689" s="411" t="s">
        <v>539</v>
      </c>
      <c r="G3689" s="410"/>
      <c r="H3689" s="249">
        <f t="shared" ref="H3689" si="155">ROUND(H3688*F3689,2)</f>
        <v>13.02</v>
      </c>
    </row>
    <row r="3690" spans="1:10">
      <c r="A3690" s="398"/>
      <c r="B3690" s="956" t="s">
        <v>540</v>
      </c>
      <c r="C3690" s="956"/>
      <c r="D3690" s="956"/>
      <c r="E3690" s="740"/>
      <c r="F3690" s="768"/>
      <c r="G3690" s="769"/>
      <c r="H3690" s="770">
        <f>SUM(H3688:H3689)</f>
        <v>65.17</v>
      </c>
    </row>
    <row r="3691" spans="1:10" s="579" customFormat="1">
      <c r="A3691" s="601"/>
      <c r="B3691" s="780"/>
      <c r="C3691" s="780"/>
      <c r="D3691" s="780"/>
      <c r="E3691" s="740"/>
      <c r="F3691" s="768"/>
      <c r="G3691" s="769"/>
      <c r="H3691" s="770"/>
      <c r="I3691" s="400"/>
      <c r="J3691" s="404"/>
    </row>
    <row r="3692" spans="1:10" s="579" customFormat="1" ht="36.75" customHeight="1">
      <c r="A3692" s="602" t="s">
        <v>2606</v>
      </c>
      <c r="B3692" s="960" t="s">
        <v>2280</v>
      </c>
      <c r="C3692" s="960"/>
      <c r="D3692" s="960"/>
      <c r="E3692" s="960"/>
      <c r="F3692" s="960"/>
      <c r="G3692" s="581"/>
      <c r="H3692" s="602" t="s">
        <v>492</v>
      </c>
      <c r="I3692" s="400"/>
      <c r="J3692" s="404"/>
    </row>
    <row r="3693" spans="1:10" s="579" customFormat="1">
      <c r="A3693" s="601"/>
      <c r="B3693" s="449" t="s">
        <v>2281</v>
      </c>
      <c r="C3693" s="596" t="s">
        <v>492</v>
      </c>
      <c r="D3693" s="474">
        <v>1</v>
      </c>
      <c r="E3693" s="957">
        <v>23995</v>
      </c>
      <c r="F3693" s="957"/>
      <c r="G3693" s="958">
        <f t="shared" ref="G3693:G3705" si="156">D3693*E3693</f>
        <v>23995</v>
      </c>
      <c r="H3693" s="958"/>
      <c r="I3693" s="400"/>
      <c r="J3693" s="404"/>
    </row>
    <row r="3694" spans="1:10" s="579" customFormat="1" ht="22.5">
      <c r="A3694" s="601"/>
      <c r="B3694" s="595" t="s">
        <v>2282</v>
      </c>
      <c r="C3694" s="596" t="s">
        <v>492</v>
      </c>
      <c r="D3694" s="474">
        <v>1</v>
      </c>
      <c r="E3694" s="957">
        <v>7450</v>
      </c>
      <c r="F3694" s="957"/>
      <c r="G3694" s="958">
        <f t="shared" si="156"/>
        <v>7450</v>
      </c>
      <c r="H3694" s="958"/>
      <c r="I3694" s="400"/>
      <c r="J3694" s="404"/>
    </row>
    <row r="3695" spans="1:10" s="579" customFormat="1">
      <c r="A3695" s="601"/>
      <c r="B3695" s="595" t="s">
        <v>2283</v>
      </c>
      <c r="C3695" s="596" t="s">
        <v>492</v>
      </c>
      <c r="D3695" s="474">
        <v>1</v>
      </c>
      <c r="E3695" s="957">
        <v>4750</v>
      </c>
      <c r="F3695" s="957"/>
      <c r="G3695" s="958">
        <f t="shared" si="156"/>
        <v>4750</v>
      </c>
      <c r="H3695" s="958"/>
      <c r="I3695" s="400"/>
      <c r="J3695" s="404"/>
    </row>
    <row r="3696" spans="1:10" s="579" customFormat="1">
      <c r="A3696" s="601"/>
      <c r="B3696" s="595" t="s">
        <v>2284</v>
      </c>
      <c r="C3696" s="596" t="s">
        <v>492</v>
      </c>
      <c r="D3696" s="474">
        <v>1</v>
      </c>
      <c r="E3696" s="957">
        <v>3355</v>
      </c>
      <c r="F3696" s="957"/>
      <c r="G3696" s="958">
        <f t="shared" si="156"/>
        <v>3355</v>
      </c>
      <c r="H3696" s="958"/>
      <c r="I3696" s="400"/>
      <c r="J3696" s="404"/>
    </row>
    <row r="3697" spans="1:10" s="579" customFormat="1">
      <c r="A3697" s="601"/>
      <c r="B3697" s="595" t="s">
        <v>2285</v>
      </c>
      <c r="C3697" s="596" t="s">
        <v>492</v>
      </c>
      <c r="D3697" s="474">
        <v>1</v>
      </c>
      <c r="E3697" s="957">
        <v>950</v>
      </c>
      <c r="F3697" s="957"/>
      <c r="G3697" s="958">
        <f t="shared" si="156"/>
        <v>950</v>
      </c>
      <c r="H3697" s="958"/>
      <c r="I3697" s="400"/>
      <c r="J3697" s="404"/>
    </row>
    <row r="3698" spans="1:10" s="579" customFormat="1">
      <c r="A3698" s="601"/>
      <c r="B3698" s="320" t="s">
        <v>2286</v>
      </c>
      <c r="C3698" s="596" t="s">
        <v>13</v>
      </c>
      <c r="D3698" s="474">
        <f>D3699*12</f>
        <v>72</v>
      </c>
      <c r="E3698" s="957">
        <v>33.9</v>
      </c>
      <c r="F3698" s="957"/>
      <c r="G3698" s="958">
        <f t="shared" si="156"/>
        <v>2440.7999999999997</v>
      </c>
      <c r="H3698" s="958"/>
      <c r="I3698" s="400"/>
      <c r="J3698" s="404"/>
    </row>
    <row r="3699" spans="1:10" s="579" customFormat="1">
      <c r="A3699" s="601"/>
      <c r="B3699" s="595" t="s">
        <v>2287</v>
      </c>
      <c r="C3699" s="596" t="s">
        <v>97</v>
      </c>
      <c r="D3699" s="474">
        <v>6</v>
      </c>
      <c r="E3699" s="957">
        <v>401.72</v>
      </c>
      <c r="F3699" s="957"/>
      <c r="G3699" s="958">
        <f t="shared" si="156"/>
        <v>2410.3200000000002</v>
      </c>
      <c r="H3699" s="958"/>
      <c r="I3699" s="400"/>
      <c r="J3699" s="404"/>
    </row>
    <row r="3700" spans="1:10" s="579" customFormat="1">
      <c r="A3700" s="601"/>
      <c r="B3700" s="595" t="s">
        <v>2106</v>
      </c>
      <c r="C3700" s="596" t="s">
        <v>97</v>
      </c>
      <c r="D3700" s="474">
        <v>6</v>
      </c>
      <c r="E3700" s="957">
        <v>72.62</v>
      </c>
      <c r="F3700" s="957"/>
      <c r="G3700" s="958">
        <f t="shared" si="156"/>
        <v>435.72</v>
      </c>
      <c r="H3700" s="958"/>
      <c r="I3700" s="400"/>
      <c r="J3700" s="404"/>
    </row>
    <row r="3701" spans="1:10" s="579" customFormat="1" ht="22.5">
      <c r="A3701" s="601"/>
      <c r="B3701" s="595" t="s">
        <v>2288</v>
      </c>
      <c r="C3701" s="596" t="s">
        <v>16</v>
      </c>
      <c r="D3701" s="474">
        <v>60</v>
      </c>
      <c r="E3701" s="957">
        <v>6.59</v>
      </c>
      <c r="F3701" s="957"/>
      <c r="G3701" s="958">
        <f t="shared" si="156"/>
        <v>395.4</v>
      </c>
      <c r="H3701" s="958"/>
      <c r="I3701" s="400"/>
      <c r="J3701" s="404"/>
    </row>
    <row r="3702" spans="1:10" s="579" customFormat="1">
      <c r="A3702" s="601"/>
      <c r="B3702" s="595" t="s">
        <v>2289</v>
      </c>
      <c r="C3702" s="596" t="s">
        <v>13</v>
      </c>
      <c r="D3702" s="474">
        <v>1</v>
      </c>
      <c r="E3702" s="957">
        <v>582.46</v>
      </c>
      <c r="F3702" s="957"/>
      <c r="G3702" s="958">
        <f t="shared" si="156"/>
        <v>582.46</v>
      </c>
      <c r="H3702" s="958"/>
      <c r="I3702" s="400"/>
      <c r="J3702" s="404"/>
    </row>
    <row r="3703" spans="1:10" s="579" customFormat="1">
      <c r="A3703" s="601"/>
      <c r="B3703" s="595" t="s">
        <v>576</v>
      </c>
      <c r="C3703" s="596" t="s">
        <v>112</v>
      </c>
      <c r="D3703" s="474">
        <v>32</v>
      </c>
      <c r="E3703" s="957">
        <v>8.67</v>
      </c>
      <c r="F3703" s="957"/>
      <c r="G3703" s="958">
        <f t="shared" si="156"/>
        <v>277.44</v>
      </c>
      <c r="H3703" s="958"/>
      <c r="I3703" s="400"/>
      <c r="J3703" s="404"/>
    </row>
    <row r="3704" spans="1:10" s="579" customFormat="1">
      <c r="A3704" s="601"/>
      <c r="B3704" s="595" t="s">
        <v>2290</v>
      </c>
      <c r="C3704" s="596" t="s">
        <v>112</v>
      </c>
      <c r="D3704" s="474">
        <v>32</v>
      </c>
      <c r="E3704" s="957">
        <v>12.28</v>
      </c>
      <c r="F3704" s="957"/>
      <c r="G3704" s="958">
        <f t="shared" si="156"/>
        <v>392.96</v>
      </c>
      <c r="H3704" s="958"/>
      <c r="I3704" s="400"/>
      <c r="J3704" s="404"/>
    </row>
    <row r="3705" spans="1:10" s="579" customFormat="1">
      <c r="A3705" s="601"/>
      <c r="B3705" s="595" t="s">
        <v>1433</v>
      </c>
      <c r="C3705" s="596" t="s">
        <v>112</v>
      </c>
      <c r="D3705" s="474">
        <v>40</v>
      </c>
      <c r="E3705" s="957">
        <v>18.440000000000001</v>
      </c>
      <c r="F3705" s="957"/>
      <c r="G3705" s="958">
        <f t="shared" si="156"/>
        <v>737.6</v>
      </c>
      <c r="H3705" s="958"/>
      <c r="I3705" s="400"/>
      <c r="J3705" s="404"/>
    </row>
    <row r="3706" spans="1:10" s="579" customFormat="1">
      <c r="A3706" s="601"/>
      <c r="B3706" s="595" t="s">
        <v>535</v>
      </c>
      <c r="C3706" s="596" t="s">
        <v>112</v>
      </c>
      <c r="D3706" s="474">
        <v>60</v>
      </c>
      <c r="E3706" s="957">
        <v>6.41</v>
      </c>
      <c r="F3706" s="957"/>
      <c r="G3706" s="958">
        <f>ROUND(D3706*E3706,2)</f>
        <v>384.6</v>
      </c>
      <c r="H3706" s="958"/>
      <c r="I3706" s="400"/>
      <c r="J3706" s="404"/>
    </row>
    <row r="3707" spans="1:10" s="579" customFormat="1">
      <c r="A3707" s="601"/>
      <c r="B3707" s="955" t="s">
        <v>536</v>
      </c>
      <c r="C3707" s="955"/>
      <c r="D3707" s="955"/>
      <c r="E3707" s="737"/>
      <c r="F3707" s="605"/>
      <c r="G3707" s="606"/>
      <c r="H3707" s="597">
        <f>SUM(G3693:H3702)</f>
        <v>46764.700000000004</v>
      </c>
      <c r="I3707" s="400"/>
      <c r="J3707" s="404"/>
    </row>
    <row r="3708" spans="1:10" s="579" customFormat="1">
      <c r="A3708" s="601"/>
      <c r="B3708" s="955" t="s">
        <v>537</v>
      </c>
      <c r="C3708" s="955"/>
      <c r="D3708" s="955"/>
      <c r="E3708" s="737"/>
      <c r="F3708" s="605"/>
      <c r="G3708" s="606"/>
      <c r="H3708" s="597">
        <f>SUM(G3703:H3706)</f>
        <v>1792.6</v>
      </c>
      <c r="I3708" s="400"/>
      <c r="J3708" s="404"/>
    </row>
    <row r="3709" spans="1:10" s="579" customFormat="1">
      <c r="A3709" s="601"/>
      <c r="B3709" s="955" t="s">
        <v>1937</v>
      </c>
      <c r="C3709" s="955"/>
      <c r="D3709" s="955"/>
      <c r="E3709" s="737"/>
      <c r="F3709" s="605"/>
      <c r="G3709" s="606"/>
      <c r="H3709" s="597">
        <f>SUM(H3707:H3708)</f>
        <v>48557.3</v>
      </c>
      <c r="I3709" s="400"/>
      <c r="J3709" s="404"/>
    </row>
    <row r="3710" spans="1:10" s="579" customFormat="1">
      <c r="A3710" s="601"/>
      <c r="B3710" s="955" t="s">
        <v>538</v>
      </c>
      <c r="C3710" s="955"/>
      <c r="D3710" s="955"/>
      <c r="E3710" s="737"/>
      <c r="F3710" s="621">
        <v>0.1</v>
      </c>
      <c r="G3710" s="606"/>
      <c r="H3710" s="597">
        <f>ROUND(H3709*F3710,2)</f>
        <v>4855.7299999999996</v>
      </c>
      <c r="I3710" s="400"/>
      <c r="J3710" s="404"/>
    </row>
    <row r="3711" spans="1:10" s="579" customFormat="1">
      <c r="A3711" s="601"/>
      <c r="B3711" s="956" t="s">
        <v>540</v>
      </c>
      <c r="C3711" s="956"/>
      <c r="D3711" s="956"/>
      <c r="E3711" s="740"/>
      <c r="F3711" s="768"/>
      <c r="G3711" s="769"/>
      <c r="H3711" s="770">
        <f>SUM(H3709:H3710)</f>
        <v>53413.03</v>
      </c>
      <c r="I3711" s="400"/>
      <c r="J3711" s="404"/>
    </row>
    <row r="3712" spans="1:10" s="579" customFormat="1">
      <c r="A3712" s="601"/>
      <c r="B3712" s="780"/>
      <c r="C3712" s="780"/>
      <c r="D3712" s="780"/>
      <c r="E3712" s="740"/>
      <c r="F3712" s="768"/>
      <c r="G3712" s="769"/>
      <c r="H3712" s="770"/>
      <c r="I3712" s="400"/>
      <c r="J3712" s="404"/>
    </row>
    <row r="3713" spans="1:10" ht="15">
      <c r="A3713" s="403" t="s">
        <v>2607</v>
      </c>
      <c r="B3713" s="961" t="s">
        <v>1447</v>
      </c>
      <c r="C3713" s="961"/>
      <c r="D3713" s="961"/>
      <c r="E3713" s="961"/>
      <c r="F3713" s="961"/>
      <c r="G3713" s="406"/>
      <c r="H3713" s="403" t="s">
        <v>88</v>
      </c>
    </row>
    <row r="3714" spans="1:10">
      <c r="A3714" s="398"/>
      <c r="B3714" s="230" t="s">
        <v>1367</v>
      </c>
      <c r="C3714" s="231" t="s">
        <v>88</v>
      </c>
      <c r="D3714" s="401">
        <v>1</v>
      </c>
      <c r="E3714" s="957">
        <f>Insumos!C1211</f>
        <v>43898.400000000001</v>
      </c>
      <c r="F3714" s="957"/>
      <c r="G3714" s="958">
        <f>ROUND(D3714*E3714,2)</f>
        <v>43898.400000000001</v>
      </c>
      <c r="H3714" s="958"/>
    </row>
    <row r="3715" spans="1:10">
      <c r="A3715" s="398"/>
      <c r="B3715" s="955" t="s">
        <v>536</v>
      </c>
      <c r="C3715" s="955"/>
      <c r="D3715" s="955"/>
      <c r="E3715" s="389"/>
      <c r="F3715" s="409"/>
      <c r="G3715" s="410"/>
      <c r="H3715" s="249">
        <f>SUM(G3714)</f>
        <v>43898.400000000001</v>
      </c>
    </row>
    <row r="3716" spans="1:10">
      <c r="A3716" s="398"/>
      <c r="B3716" s="955" t="s">
        <v>537</v>
      </c>
      <c r="C3716" s="955"/>
      <c r="D3716" s="955"/>
      <c r="E3716" s="389"/>
      <c r="F3716" s="409"/>
      <c r="G3716" s="410"/>
      <c r="H3716" s="249">
        <v>0</v>
      </c>
    </row>
    <row r="3717" spans="1:10">
      <c r="A3717" s="398"/>
      <c r="B3717" s="955" t="s">
        <v>1937</v>
      </c>
      <c r="C3717" s="955"/>
      <c r="D3717" s="955"/>
      <c r="E3717" s="389"/>
      <c r="F3717" s="409"/>
      <c r="G3717" s="410"/>
      <c r="H3717" s="249">
        <f>SUM(H3715:H3716)</f>
        <v>43898.400000000001</v>
      </c>
    </row>
    <row r="3718" spans="1:10">
      <c r="A3718" s="398"/>
      <c r="B3718" s="955" t="s">
        <v>538</v>
      </c>
      <c r="C3718" s="955"/>
      <c r="D3718" s="955"/>
      <c r="E3718" s="389"/>
      <c r="F3718" s="466">
        <v>0.1</v>
      </c>
      <c r="G3718" s="410"/>
      <c r="H3718" s="249">
        <f t="shared" ref="H3718" si="157">ROUND(H3717*F3718,2)</f>
        <v>4389.84</v>
      </c>
    </row>
    <row r="3719" spans="1:10">
      <c r="A3719" s="398"/>
      <c r="B3719" s="956" t="s">
        <v>540</v>
      </c>
      <c r="C3719" s="956"/>
      <c r="D3719" s="956"/>
      <c r="E3719" s="740"/>
      <c r="F3719" s="768"/>
      <c r="G3719" s="769"/>
      <c r="H3719" s="770">
        <f>SUM(H3717:H3718)</f>
        <v>48288.240000000005</v>
      </c>
    </row>
    <row r="3720" spans="1:10" s="579" customFormat="1">
      <c r="A3720" s="601"/>
      <c r="B3720" s="780"/>
      <c r="C3720" s="780"/>
      <c r="D3720" s="780"/>
      <c r="E3720" s="740"/>
      <c r="F3720" s="768"/>
      <c r="G3720" s="769"/>
      <c r="H3720" s="770"/>
      <c r="I3720" s="400"/>
      <c r="J3720" s="404"/>
    </row>
    <row r="3721" spans="1:10" s="167" customFormat="1" ht="18.75" customHeight="1">
      <c r="A3721" s="753">
        <v>23</v>
      </c>
      <c r="B3721" s="971" t="s">
        <v>1922</v>
      </c>
      <c r="C3721" s="971"/>
      <c r="D3721" s="971"/>
      <c r="E3721" s="971"/>
      <c r="F3721" s="971"/>
      <c r="G3721" s="790"/>
      <c r="H3721" s="791"/>
      <c r="I3721" s="326"/>
      <c r="J3721" s="344"/>
    </row>
    <row r="3722" spans="1:10" s="167" customFormat="1" ht="15">
      <c r="A3722" s="756" t="s">
        <v>2608</v>
      </c>
      <c r="B3722" s="975" t="s">
        <v>1923</v>
      </c>
      <c r="C3722" s="975"/>
      <c r="D3722" s="975"/>
      <c r="E3722" s="975"/>
      <c r="F3722" s="975"/>
      <c r="G3722" s="792"/>
      <c r="H3722" s="793"/>
      <c r="I3722" s="326"/>
      <c r="J3722" s="344"/>
    </row>
    <row r="3723" spans="1:10" s="406" customFormat="1" ht="48.6" customHeight="1">
      <c r="A3723" s="403" t="s">
        <v>2609</v>
      </c>
      <c r="B3723" s="961" t="s">
        <v>839</v>
      </c>
      <c r="C3723" s="961"/>
      <c r="D3723" s="961"/>
      <c r="E3723" s="961"/>
      <c r="F3723" s="961"/>
      <c r="G3723" s="402"/>
      <c r="H3723" s="403" t="s">
        <v>88</v>
      </c>
      <c r="I3723" s="407"/>
      <c r="J3723" s="408"/>
    </row>
    <row r="3724" spans="1:10">
      <c r="A3724" s="398"/>
      <c r="B3724" s="230" t="s">
        <v>549</v>
      </c>
      <c r="C3724" s="231" t="s">
        <v>16</v>
      </c>
      <c r="D3724" s="436">
        <v>0.8</v>
      </c>
      <c r="E3724" s="968">
        <f>Insumos!C930</f>
        <v>0.50050000000000006</v>
      </c>
      <c r="F3724" s="968"/>
      <c r="G3724" s="958">
        <f t="shared" ref="G3724:G3732" si="158">ROUND(D3724*E3724,2)</f>
        <v>0.4</v>
      </c>
      <c r="H3724" s="958"/>
    </row>
    <row r="3725" spans="1:10">
      <c r="A3725" s="398"/>
      <c r="B3725" s="230" t="s">
        <v>840</v>
      </c>
      <c r="C3725" s="231" t="s">
        <v>14</v>
      </c>
      <c r="D3725" s="436">
        <v>73.486666666666679</v>
      </c>
      <c r="E3725" s="968">
        <f>Insumos!C931</f>
        <v>1.1648000000000001</v>
      </c>
      <c r="F3725" s="968"/>
      <c r="G3725" s="958">
        <f t="shared" si="158"/>
        <v>85.6</v>
      </c>
      <c r="H3725" s="958"/>
    </row>
    <row r="3726" spans="1:10">
      <c r="A3726" s="398"/>
      <c r="B3726" s="230" t="s">
        <v>841</v>
      </c>
      <c r="C3726" s="231" t="s">
        <v>97</v>
      </c>
      <c r="D3726" s="436">
        <v>1.6500000000000001E-2</v>
      </c>
      <c r="E3726" s="968">
        <f>Insumos!C932</f>
        <v>347.21960000000001</v>
      </c>
      <c r="F3726" s="968"/>
      <c r="G3726" s="958">
        <f t="shared" si="158"/>
        <v>5.73</v>
      </c>
      <c r="H3726" s="958"/>
    </row>
    <row r="3727" spans="1:10">
      <c r="A3727" s="398"/>
      <c r="B3727" s="230" t="s">
        <v>842</v>
      </c>
      <c r="C3727" s="231" t="s">
        <v>97</v>
      </c>
      <c r="D3727" s="436">
        <v>1.997500000000009E-2</v>
      </c>
      <c r="E3727" s="968">
        <f>Insumos!C933</f>
        <v>296.66000000000003</v>
      </c>
      <c r="F3727" s="968"/>
      <c r="G3727" s="958">
        <f t="shared" si="158"/>
        <v>5.93</v>
      </c>
      <c r="H3727" s="958"/>
    </row>
    <row r="3728" spans="1:10">
      <c r="A3728" s="398"/>
      <c r="B3728" s="230" t="s">
        <v>604</v>
      </c>
      <c r="C3728" s="231" t="s">
        <v>97</v>
      </c>
      <c r="D3728" s="436">
        <v>1.7999999999999999E-2</v>
      </c>
      <c r="E3728" s="968">
        <f>Insumos!C934</f>
        <v>365.56520000000006</v>
      </c>
      <c r="F3728" s="968"/>
      <c r="G3728" s="958">
        <f t="shared" si="158"/>
        <v>6.58</v>
      </c>
      <c r="H3728" s="958"/>
    </row>
    <row r="3729" spans="1:10">
      <c r="A3729" s="398"/>
      <c r="B3729" s="230" t="s">
        <v>843</v>
      </c>
      <c r="C3729" s="231" t="s">
        <v>14</v>
      </c>
      <c r="D3729" s="436">
        <v>1</v>
      </c>
      <c r="E3729" s="968">
        <f>Insumos!C935</f>
        <v>20.0564</v>
      </c>
      <c r="F3729" s="968"/>
      <c r="G3729" s="958">
        <f t="shared" si="158"/>
        <v>20.059999999999999</v>
      </c>
      <c r="H3729" s="958"/>
    </row>
    <row r="3730" spans="1:10">
      <c r="A3730" s="398"/>
      <c r="B3730" s="230" t="s">
        <v>845</v>
      </c>
      <c r="C3730" s="231" t="s">
        <v>97</v>
      </c>
      <c r="D3730" s="436">
        <v>0.2</v>
      </c>
      <c r="E3730" s="968">
        <f>Insumos!C936</f>
        <v>69.897100000000009</v>
      </c>
      <c r="F3730" s="968"/>
      <c r="G3730" s="958">
        <f t="shared" si="158"/>
        <v>13.98</v>
      </c>
      <c r="H3730" s="958"/>
    </row>
    <row r="3731" spans="1:10">
      <c r="A3731" s="398"/>
      <c r="B3731" s="230" t="s">
        <v>576</v>
      </c>
      <c r="C3731" s="231" t="s">
        <v>112</v>
      </c>
      <c r="D3731" s="436">
        <v>1.3</v>
      </c>
      <c r="E3731" s="968">
        <f>Insumos!C937</f>
        <v>8.6722999999999999</v>
      </c>
      <c r="F3731" s="968"/>
      <c r="G3731" s="958">
        <f t="shared" si="158"/>
        <v>11.27</v>
      </c>
      <c r="H3731" s="958"/>
    </row>
    <row r="3732" spans="1:10">
      <c r="A3732" s="398"/>
      <c r="B3732" s="230" t="s">
        <v>535</v>
      </c>
      <c r="C3732" s="231" t="s">
        <v>112</v>
      </c>
      <c r="D3732" s="436">
        <v>1.3</v>
      </c>
      <c r="E3732" s="968">
        <f>Insumos!C938</f>
        <v>6.4064000000000005</v>
      </c>
      <c r="F3732" s="968"/>
      <c r="G3732" s="958">
        <f t="shared" si="158"/>
        <v>8.33</v>
      </c>
      <c r="H3732" s="958"/>
    </row>
    <row r="3733" spans="1:10" s="406" customFormat="1" ht="15">
      <c r="A3733" s="398"/>
      <c r="B3733" s="955" t="s">
        <v>536</v>
      </c>
      <c r="C3733" s="955"/>
      <c r="D3733" s="955"/>
      <c r="E3733" s="389"/>
      <c r="F3733" s="409"/>
      <c r="G3733" s="410"/>
      <c r="H3733" s="249">
        <f>SUM(G3724:H3730)</f>
        <v>138.28</v>
      </c>
      <c r="I3733" s="407"/>
      <c r="J3733" s="408"/>
    </row>
    <row r="3734" spans="1:10">
      <c r="A3734" s="398"/>
      <c r="B3734" s="955" t="s">
        <v>537</v>
      </c>
      <c r="C3734" s="955"/>
      <c r="D3734" s="955"/>
      <c r="E3734" s="389"/>
      <c r="F3734" s="409"/>
      <c r="G3734" s="410"/>
      <c r="H3734" s="249">
        <f>SUM(G3731:H3732)</f>
        <v>19.600000000000001</v>
      </c>
    </row>
    <row r="3735" spans="1:10">
      <c r="A3735" s="398"/>
      <c r="B3735" s="955" t="s">
        <v>1937</v>
      </c>
      <c r="C3735" s="955"/>
      <c r="D3735" s="955"/>
      <c r="E3735" s="389"/>
      <c r="F3735" s="409"/>
      <c r="G3735" s="410"/>
      <c r="H3735" s="249">
        <f>SUM(H3733:H3734)</f>
        <v>157.88</v>
      </c>
    </row>
    <row r="3736" spans="1:10">
      <c r="A3736" s="398"/>
      <c r="B3736" s="955" t="s">
        <v>538</v>
      </c>
      <c r="C3736" s="955"/>
      <c r="D3736" s="955"/>
      <c r="E3736" s="389"/>
      <c r="F3736" s="411" t="s">
        <v>539</v>
      </c>
      <c r="G3736" s="410"/>
      <c r="H3736" s="249">
        <f t="shared" ref="H3736" si="159">ROUND(H3735*F3736,2)</f>
        <v>39.409999999999997</v>
      </c>
    </row>
    <row r="3737" spans="1:10">
      <c r="A3737" s="398"/>
      <c r="B3737" s="956" t="s">
        <v>540</v>
      </c>
      <c r="C3737" s="956"/>
      <c r="D3737" s="956"/>
      <c r="E3737" s="740"/>
      <c r="F3737" s="768"/>
      <c r="G3737" s="769"/>
      <c r="H3737" s="770">
        <f>SUM(H3735:H3736)</f>
        <v>197.29</v>
      </c>
    </row>
    <row r="3738" spans="1:10" s="579" customFormat="1">
      <c r="A3738" s="601"/>
      <c r="B3738" s="780"/>
      <c r="C3738" s="780"/>
      <c r="D3738" s="780"/>
      <c r="E3738" s="740"/>
      <c r="F3738" s="768"/>
      <c r="G3738" s="769"/>
      <c r="H3738" s="770"/>
      <c r="I3738" s="400"/>
      <c r="J3738" s="404"/>
    </row>
    <row r="3739" spans="1:10">
      <c r="A3739" s="403" t="s">
        <v>2610</v>
      </c>
      <c r="B3739" s="961" t="s">
        <v>866</v>
      </c>
      <c r="C3739" s="961"/>
      <c r="D3739" s="961"/>
      <c r="E3739" s="961"/>
      <c r="F3739" s="961"/>
      <c r="G3739" s="402"/>
      <c r="H3739" s="403" t="s">
        <v>88</v>
      </c>
    </row>
    <row r="3740" spans="1:10">
      <c r="A3740" s="398"/>
      <c r="B3740" s="230" t="s">
        <v>746</v>
      </c>
      <c r="C3740" s="231" t="s">
        <v>492</v>
      </c>
      <c r="D3740" s="436">
        <v>5.2999999999999999E-2</v>
      </c>
      <c r="E3740" s="968">
        <f>Insumos!C939</f>
        <v>25.898600000000002</v>
      </c>
      <c r="F3740" s="968"/>
      <c r="G3740" s="958">
        <f>ROUND(D3740*E3740,2)</f>
        <v>1.37</v>
      </c>
      <c r="H3740" s="958"/>
    </row>
    <row r="3741" spans="1:10">
      <c r="A3741" s="398"/>
      <c r="B3741" s="230" t="s">
        <v>747</v>
      </c>
      <c r="C3741" s="231" t="s">
        <v>14</v>
      </c>
      <c r="D3741" s="436">
        <v>2.9399999999999999E-2</v>
      </c>
      <c r="E3741" s="968">
        <f>Insumos!C940</f>
        <v>30.676100000000002</v>
      </c>
      <c r="F3741" s="968"/>
      <c r="G3741" s="958">
        <f>ROUND(D3741*E3741,2)</f>
        <v>0.9</v>
      </c>
      <c r="H3741" s="958"/>
    </row>
    <row r="3742" spans="1:10">
      <c r="A3742" s="398"/>
      <c r="B3742" s="230" t="s">
        <v>867</v>
      </c>
      <c r="C3742" s="231" t="s">
        <v>14</v>
      </c>
      <c r="D3742" s="436">
        <v>1</v>
      </c>
      <c r="E3742" s="968">
        <f>Insumos!C941</f>
        <v>4.3043000000000005</v>
      </c>
      <c r="F3742" s="968"/>
      <c r="G3742" s="958">
        <f>ROUND(D3742*E3742,2)</f>
        <v>4.3</v>
      </c>
      <c r="H3742" s="958"/>
    </row>
    <row r="3743" spans="1:10" s="445" customFormat="1" ht="15">
      <c r="A3743" s="398"/>
      <c r="B3743" s="230" t="s">
        <v>509</v>
      </c>
      <c r="C3743" s="231" t="s">
        <v>112</v>
      </c>
      <c r="D3743" s="436">
        <v>0.4</v>
      </c>
      <c r="E3743" s="968">
        <f>Insumos!C942</f>
        <v>6.4064000000000005</v>
      </c>
      <c r="F3743" s="968"/>
      <c r="G3743" s="958">
        <f>ROUND(D3743*E3743,2)</f>
        <v>2.56</v>
      </c>
      <c r="H3743" s="958"/>
      <c r="I3743" s="455"/>
      <c r="J3743" s="456"/>
    </row>
    <row r="3744" spans="1:10" s="460" customFormat="1">
      <c r="A3744" s="398"/>
      <c r="B3744" s="230" t="s">
        <v>517</v>
      </c>
      <c r="C3744" s="231" t="s">
        <v>112</v>
      </c>
      <c r="D3744" s="436">
        <v>0.4</v>
      </c>
      <c r="E3744" s="968">
        <f>Insumos!C943</f>
        <v>8.6722999999999999</v>
      </c>
      <c r="F3744" s="968"/>
      <c r="G3744" s="958">
        <f>ROUND(D3744*E3744,2)</f>
        <v>3.47</v>
      </c>
      <c r="H3744" s="958"/>
      <c r="I3744" s="458"/>
      <c r="J3744" s="459"/>
    </row>
    <row r="3745" spans="1:10" s="460" customFormat="1">
      <c r="A3745" s="398"/>
      <c r="B3745" s="955" t="s">
        <v>536</v>
      </c>
      <c r="C3745" s="955"/>
      <c r="D3745" s="955"/>
      <c r="E3745" s="389"/>
      <c r="F3745" s="409"/>
      <c r="G3745" s="410"/>
      <c r="H3745" s="249">
        <f>SUM(G3740:H3742)</f>
        <v>6.57</v>
      </c>
      <c r="I3745" s="458"/>
      <c r="J3745" s="459"/>
    </row>
    <row r="3746" spans="1:10" s="460" customFormat="1">
      <c r="A3746" s="398"/>
      <c r="B3746" s="955" t="s">
        <v>537</v>
      </c>
      <c r="C3746" s="955"/>
      <c r="D3746" s="955"/>
      <c r="E3746" s="389"/>
      <c r="F3746" s="409"/>
      <c r="G3746" s="410"/>
      <c r="H3746" s="249">
        <f>SUM(G3743:H3744)</f>
        <v>6.03</v>
      </c>
      <c r="I3746" s="458"/>
      <c r="J3746" s="459"/>
    </row>
    <row r="3747" spans="1:10" s="460" customFormat="1">
      <c r="A3747" s="398"/>
      <c r="B3747" s="955" t="s">
        <v>1937</v>
      </c>
      <c r="C3747" s="955"/>
      <c r="D3747" s="955"/>
      <c r="E3747" s="389"/>
      <c r="F3747" s="409"/>
      <c r="G3747" s="410"/>
      <c r="H3747" s="249">
        <f>SUM(H3745:H3746)</f>
        <v>12.600000000000001</v>
      </c>
      <c r="I3747" s="458"/>
      <c r="J3747" s="459"/>
    </row>
    <row r="3748" spans="1:10" s="460" customFormat="1">
      <c r="A3748" s="398"/>
      <c r="B3748" s="955" t="s">
        <v>538</v>
      </c>
      <c r="C3748" s="955"/>
      <c r="D3748" s="955"/>
      <c r="E3748" s="389"/>
      <c r="F3748" s="411" t="s">
        <v>539</v>
      </c>
      <c r="G3748" s="410"/>
      <c r="H3748" s="249">
        <f t="shared" ref="H3748" si="160">ROUND(H3747*F3748,2)</f>
        <v>3.14</v>
      </c>
      <c r="I3748" s="458"/>
      <c r="J3748" s="459"/>
    </row>
    <row r="3749" spans="1:10" s="460" customFormat="1">
      <c r="A3749" s="398"/>
      <c r="B3749" s="956" t="s">
        <v>540</v>
      </c>
      <c r="C3749" s="956"/>
      <c r="D3749" s="956"/>
      <c r="E3749" s="740"/>
      <c r="F3749" s="768"/>
      <c r="G3749" s="769"/>
      <c r="H3749" s="770">
        <f>SUM(H3747:H3748)</f>
        <v>15.740000000000002</v>
      </c>
      <c r="I3749" s="458"/>
      <c r="J3749" s="459"/>
    </row>
    <row r="3750" spans="1:10" s="460" customFormat="1">
      <c r="A3750" s="601"/>
      <c r="B3750" s="780"/>
      <c r="C3750" s="780"/>
      <c r="D3750" s="780"/>
      <c r="E3750" s="740"/>
      <c r="F3750" s="768"/>
      <c r="G3750" s="769"/>
      <c r="H3750" s="770"/>
      <c r="I3750" s="458"/>
      <c r="J3750" s="459"/>
    </row>
    <row r="3751" spans="1:10" s="460" customFormat="1">
      <c r="A3751" s="403" t="s">
        <v>2611</v>
      </c>
      <c r="B3751" s="961" t="s">
        <v>886</v>
      </c>
      <c r="C3751" s="961"/>
      <c r="D3751" s="961"/>
      <c r="E3751" s="961"/>
      <c r="F3751" s="961"/>
      <c r="G3751" s="402"/>
      <c r="H3751" s="403" t="s">
        <v>88</v>
      </c>
      <c r="I3751" s="458"/>
      <c r="J3751" s="459"/>
    </row>
    <row r="3752" spans="1:10" s="462" customFormat="1">
      <c r="A3752" s="398"/>
      <c r="B3752" s="230" t="s">
        <v>746</v>
      </c>
      <c r="C3752" s="231" t="s">
        <v>492</v>
      </c>
      <c r="D3752" s="401">
        <v>5.2900000000000003E-2</v>
      </c>
      <c r="E3752" s="968">
        <f>Insumos!C944</f>
        <v>25.898600000000002</v>
      </c>
      <c r="F3752" s="968"/>
      <c r="G3752" s="958">
        <f>ROUND(D3752*E3752,2)</f>
        <v>1.37</v>
      </c>
      <c r="H3752" s="958"/>
      <c r="I3752" s="400"/>
      <c r="J3752" s="461"/>
    </row>
    <row r="3753" spans="1:10" s="406" customFormat="1" ht="15">
      <c r="A3753" s="398"/>
      <c r="B3753" s="230" t="s">
        <v>887</v>
      </c>
      <c r="C3753" s="231" t="s">
        <v>492</v>
      </c>
      <c r="D3753" s="401">
        <v>0.99750000000000005</v>
      </c>
      <c r="E3753" s="968">
        <f>Insumos!C945</f>
        <v>3.6581999999999999</v>
      </c>
      <c r="F3753" s="968"/>
      <c r="G3753" s="958">
        <f>ROUND(D3753*E3753,2)</f>
        <v>3.65</v>
      </c>
      <c r="H3753" s="958"/>
      <c r="I3753" s="407"/>
      <c r="J3753" s="408"/>
    </row>
    <row r="3754" spans="1:10">
      <c r="A3754" s="398"/>
      <c r="B3754" s="230" t="s">
        <v>747</v>
      </c>
      <c r="C3754" s="231" t="s">
        <v>14</v>
      </c>
      <c r="D3754" s="401">
        <v>8.9999999999999993E-3</v>
      </c>
      <c r="E3754" s="968">
        <f>Insumos!C946</f>
        <v>30.676100000000002</v>
      </c>
      <c r="F3754" s="968"/>
      <c r="G3754" s="958">
        <f>ROUND(D3754*E3754,2)</f>
        <v>0.28000000000000003</v>
      </c>
      <c r="H3754" s="958"/>
    </row>
    <row r="3755" spans="1:10">
      <c r="A3755" s="398"/>
      <c r="B3755" s="230" t="s">
        <v>509</v>
      </c>
      <c r="C3755" s="231" t="s">
        <v>112</v>
      </c>
      <c r="D3755" s="401">
        <v>0.21</v>
      </c>
      <c r="E3755" s="968">
        <f>Insumos!C947</f>
        <v>6.4064000000000005</v>
      </c>
      <c r="F3755" s="968"/>
      <c r="G3755" s="958">
        <f>ROUND(D3755*E3755,2)</f>
        <v>1.35</v>
      </c>
      <c r="H3755" s="958"/>
    </row>
    <row r="3756" spans="1:10">
      <c r="A3756" s="398"/>
      <c r="B3756" s="230" t="s">
        <v>517</v>
      </c>
      <c r="C3756" s="231" t="s">
        <v>112</v>
      </c>
      <c r="D3756" s="401">
        <v>0.21</v>
      </c>
      <c r="E3756" s="968">
        <f>Insumos!C948</f>
        <v>8.6722999999999999</v>
      </c>
      <c r="F3756" s="968"/>
      <c r="G3756" s="958">
        <f>ROUND(D3756*E3756,2)</f>
        <v>1.82</v>
      </c>
      <c r="H3756" s="958"/>
    </row>
    <row r="3757" spans="1:10">
      <c r="A3757" s="398"/>
      <c r="B3757" s="955" t="s">
        <v>536</v>
      </c>
      <c r="C3757" s="955"/>
      <c r="D3757" s="955"/>
      <c r="E3757" s="389"/>
      <c r="F3757" s="409"/>
      <c r="G3757" s="410"/>
      <c r="H3757" s="249">
        <f>SUM(G3752:H3754)</f>
        <v>5.3</v>
      </c>
    </row>
    <row r="3758" spans="1:10">
      <c r="A3758" s="398"/>
      <c r="B3758" s="955" t="s">
        <v>537</v>
      </c>
      <c r="C3758" s="955"/>
      <c r="D3758" s="955"/>
      <c r="E3758" s="389"/>
      <c r="F3758" s="409"/>
      <c r="G3758" s="410"/>
      <c r="H3758" s="249">
        <f>SUM(G3755:H3756)</f>
        <v>3.17</v>
      </c>
    </row>
    <row r="3759" spans="1:10">
      <c r="A3759" s="398"/>
      <c r="B3759" s="955" t="s">
        <v>1937</v>
      </c>
      <c r="C3759" s="955"/>
      <c r="D3759" s="955"/>
      <c r="E3759" s="389"/>
      <c r="F3759" s="409"/>
      <c r="G3759" s="410"/>
      <c r="H3759" s="249">
        <f>SUM(H3757:H3758)</f>
        <v>8.4699999999999989</v>
      </c>
    </row>
    <row r="3760" spans="1:10">
      <c r="A3760" s="398"/>
      <c r="B3760" s="955" t="s">
        <v>538</v>
      </c>
      <c r="C3760" s="955"/>
      <c r="D3760" s="955"/>
      <c r="E3760" s="389"/>
      <c r="F3760" s="411" t="s">
        <v>539</v>
      </c>
      <c r="G3760" s="410"/>
      <c r="H3760" s="249">
        <f t="shared" ref="H3760" si="161">ROUND(H3759*F3760,2)</f>
        <v>2.11</v>
      </c>
    </row>
    <row r="3761" spans="1:10">
      <c r="A3761" s="398"/>
      <c r="B3761" s="956" t="s">
        <v>540</v>
      </c>
      <c r="C3761" s="956"/>
      <c r="D3761" s="956"/>
      <c r="E3761" s="740"/>
      <c r="F3761" s="768"/>
      <c r="G3761" s="769"/>
      <c r="H3761" s="770">
        <f>SUM(H3759:H3760)</f>
        <v>10.579999999999998</v>
      </c>
    </row>
    <row r="3762" spans="1:10" s="579" customFormat="1">
      <c r="A3762" s="601"/>
      <c r="B3762" s="780"/>
      <c r="C3762" s="780"/>
      <c r="D3762" s="780"/>
      <c r="E3762" s="740"/>
      <c r="F3762" s="768"/>
      <c r="G3762" s="769"/>
      <c r="H3762" s="770"/>
      <c r="I3762" s="400"/>
      <c r="J3762" s="404"/>
    </row>
    <row r="3763" spans="1:10">
      <c r="A3763" s="403" t="s">
        <v>2612</v>
      </c>
      <c r="B3763" s="961" t="s">
        <v>909</v>
      </c>
      <c r="C3763" s="961"/>
      <c r="D3763" s="961"/>
      <c r="E3763" s="961"/>
      <c r="F3763" s="961"/>
      <c r="G3763" s="402"/>
      <c r="H3763" s="403" t="s">
        <v>15</v>
      </c>
    </row>
    <row r="3764" spans="1:10">
      <c r="A3764" s="398"/>
      <c r="B3764" s="230" t="s">
        <v>567</v>
      </c>
      <c r="C3764" s="231" t="s">
        <v>15</v>
      </c>
      <c r="D3764" s="401">
        <v>1.048</v>
      </c>
      <c r="E3764" s="957">
        <f>Insumos!C949</f>
        <v>6.5975000000000001</v>
      </c>
      <c r="F3764" s="957"/>
      <c r="G3764" s="958">
        <f>ROUND(D3764*E3764,2)</f>
        <v>6.91</v>
      </c>
      <c r="H3764" s="958"/>
    </row>
    <row r="3765" spans="1:10">
      <c r="A3765" s="398"/>
      <c r="B3765" s="230" t="s">
        <v>517</v>
      </c>
      <c r="C3765" s="231" t="s">
        <v>112</v>
      </c>
      <c r="D3765" s="401">
        <v>0.4</v>
      </c>
      <c r="E3765" s="957">
        <f>Insumos!C950</f>
        <v>8.6722999999999999</v>
      </c>
      <c r="F3765" s="957"/>
      <c r="G3765" s="958">
        <f>ROUND(D3765*E3765,2)</f>
        <v>3.47</v>
      </c>
      <c r="H3765" s="958"/>
    </row>
    <row r="3766" spans="1:10">
      <c r="A3766" s="398"/>
      <c r="B3766" s="230" t="s">
        <v>535</v>
      </c>
      <c r="C3766" s="231" t="s">
        <v>112</v>
      </c>
      <c r="D3766" s="401">
        <v>0.4</v>
      </c>
      <c r="E3766" s="957">
        <f>Insumos!C951</f>
        <v>6.4064000000000005</v>
      </c>
      <c r="F3766" s="957"/>
      <c r="G3766" s="958">
        <f>ROUND(D3766*E3766,2)</f>
        <v>2.56</v>
      </c>
      <c r="H3766" s="958"/>
    </row>
    <row r="3767" spans="1:10">
      <c r="A3767" s="398"/>
      <c r="B3767" s="955" t="s">
        <v>536</v>
      </c>
      <c r="C3767" s="955"/>
      <c r="D3767" s="955"/>
      <c r="E3767" s="389"/>
      <c r="F3767" s="409"/>
      <c r="G3767" s="410"/>
      <c r="H3767" s="249">
        <f>SUM(G3764)</f>
        <v>6.91</v>
      </c>
    </row>
    <row r="3768" spans="1:10">
      <c r="A3768" s="398"/>
      <c r="B3768" s="955" t="s">
        <v>537</v>
      </c>
      <c r="C3768" s="955"/>
      <c r="D3768" s="955"/>
      <c r="E3768" s="389"/>
      <c r="F3768" s="409"/>
      <c r="G3768" s="410"/>
      <c r="H3768" s="249">
        <f>SUM(G3765:H3766)</f>
        <v>6.03</v>
      </c>
    </row>
    <row r="3769" spans="1:10">
      <c r="A3769" s="398"/>
      <c r="B3769" s="955" t="s">
        <v>1937</v>
      </c>
      <c r="C3769" s="955"/>
      <c r="D3769" s="955"/>
      <c r="E3769" s="389"/>
      <c r="F3769" s="409"/>
      <c r="G3769" s="410"/>
      <c r="H3769" s="249">
        <f>SUM(H3767:H3768)</f>
        <v>12.940000000000001</v>
      </c>
    </row>
    <row r="3770" spans="1:10">
      <c r="A3770" s="398"/>
      <c r="B3770" s="955" t="s">
        <v>538</v>
      </c>
      <c r="C3770" s="955"/>
      <c r="D3770" s="955"/>
      <c r="E3770" s="389"/>
      <c r="F3770" s="411" t="s">
        <v>539</v>
      </c>
      <c r="G3770" s="410"/>
      <c r="H3770" s="249">
        <f t="shared" ref="H3770" si="162">ROUND(H3769*F3770,2)</f>
        <v>3.23</v>
      </c>
    </row>
    <row r="3771" spans="1:10">
      <c r="A3771" s="398"/>
      <c r="B3771" s="956" t="s">
        <v>540</v>
      </c>
      <c r="C3771" s="956"/>
      <c r="D3771" s="956"/>
      <c r="E3771" s="740"/>
      <c r="F3771" s="768"/>
      <c r="G3771" s="769"/>
      <c r="H3771" s="770">
        <f>SUM(H3769:H3770)</f>
        <v>16.170000000000002</v>
      </c>
    </row>
    <row r="3772" spans="1:10" s="579" customFormat="1">
      <c r="A3772" s="601"/>
      <c r="B3772" s="780"/>
      <c r="C3772" s="780"/>
      <c r="D3772" s="780"/>
      <c r="E3772" s="740"/>
      <c r="F3772" s="768"/>
      <c r="G3772" s="769"/>
      <c r="H3772" s="770"/>
      <c r="I3772" s="400"/>
      <c r="J3772" s="404"/>
    </row>
    <row r="3773" spans="1:10" ht="24" customHeight="1">
      <c r="A3773" s="403" t="s">
        <v>2613</v>
      </c>
      <c r="B3773" s="961" t="s">
        <v>1289</v>
      </c>
      <c r="C3773" s="961"/>
      <c r="D3773" s="961"/>
      <c r="E3773" s="961"/>
      <c r="F3773" s="961"/>
      <c r="G3773" s="402"/>
      <c r="H3773" s="403" t="s">
        <v>15</v>
      </c>
    </row>
    <row r="3774" spans="1:10">
      <c r="A3774" s="398"/>
      <c r="B3774" s="230" t="s">
        <v>1290</v>
      </c>
      <c r="C3774" s="231" t="s">
        <v>15</v>
      </c>
      <c r="D3774" s="401">
        <v>1.5</v>
      </c>
      <c r="E3774" s="957">
        <f>Insumos!C952</f>
        <v>51.342200000000005</v>
      </c>
      <c r="F3774" s="957"/>
      <c r="G3774" s="958">
        <f>ROUND(D3774*E3774,2)</f>
        <v>77.010000000000005</v>
      </c>
      <c r="H3774" s="958"/>
    </row>
    <row r="3775" spans="1:10">
      <c r="A3775" s="398"/>
      <c r="B3775" s="230" t="s">
        <v>1291</v>
      </c>
      <c r="C3775" s="231"/>
      <c r="D3775" s="401">
        <v>0.16700000000000001</v>
      </c>
      <c r="E3775" s="957">
        <f>Insumos!C953</f>
        <v>25.834900000000001</v>
      </c>
      <c r="F3775" s="957"/>
      <c r="G3775" s="958">
        <f>ROUND(D3775*E3775,2)</f>
        <v>4.3099999999999996</v>
      </c>
      <c r="H3775" s="958"/>
    </row>
    <row r="3776" spans="1:10">
      <c r="A3776" s="398"/>
      <c r="B3776" s="230" t="s">
        <v>516</v>
      </c>
      <c r="C3776" s="231" t="s">
        <v>112</v>
      </c>
      <c r="D3776" s="401">
        <v>0.65</v>
      </c>
      <c r="E3776" s="957">
        <f>Insumos!C954</f>
        <v>7.0798000000000005</v>
      </c>
      <c r="F3776" s="957"/>
      <c r="G3776" s="958">
        <f>ROUND(D3776*E3776,2)</f>
        <v>4.5999999999999996</v>
      </c>
      <c r="H3776" s="958"/>
    </row>
    <row r="3777" spans="1:10">
      <c r="A3777" s="398"/>
      <c r="B3777" s="230" t="s">
        <v>517</v>
      </c>
      <c r="C3777" s="231" t="s">
        <v>112</v>
      </c>
      <c r="D3777" s="401">
        <v>0.25</v>
      </c>
      <c r="E3777" s="957">
        <f>Insumos!C955</f>
        <v>8.6722999999999999</v>
      </c>
      <c r="F3777" s="957"/>
      <c r="G3777" s="958">
        <f>ROUND(D3777*E3777,2)</f>
        <v>2.17</v>
      </c>
      <c r="H3777" s="958"/>
    </row>
    <row r="3778" spans="1:10">
      <c r="A3778" s="398"/>
      <c r="B3778" s="955" t="s">
        <v>536</v>
      </c>
      <c r="C3778" s="955"/>
      <c r="D3778" s="955"/>
      <c r="E3778" s="389"/>
      <c r="F3778" s="409"/>
      <c r="G3778" s="410"/>
      <c r="H3778" s="249">
        <f>SUM(G3774:H3775)</f>
        <v>81.320000000000007</v>
      </c>
    </row>
    <row r="3779" spans="1:10" s="406" customFormat="1" ht="15">
      <c r="A3779" s="398"/>
      <c r="B3779" s="955" t="s">
        <v>537</v>
      </c>
      <c r="C3779" s="955"/>
      <c r="D3779" s="955"/>
      <c r="E3779" s="389"/>
      <c r="F3779" s="409"/>
      <c r="G3779" s="410"/>
      <c r="H3779" s="249">
        <f>SUM(G3776:H3777)</f>
        <v>6.77</v>
      </c>
      <c r="I3779" s="407"/>
      <c r="J3779" s="408"/>
    </row>
    <row r="3780" spans="1:10">
      <c r="A3780" s="398"/>
      <c r="B3780" s="955" t="s">
        <v>1937</v>
      </c>
      <c r="C3780" s="955"/>
      <c r="D3780" s="955"/>
      <c r="E3780" s="389"/>
      <c r="F3780" s="409"/>
      <c r="G3780" s="410"/>
      <c r="H3780" s="249">
        <f>SUM(H3778:H3779)</f>
        <v>88.09</v>
      </c>
    </row>
    <row r="3781" spans="1:10">
      <c r="A3781" s="398"/>
      <c r="B3781" s="955" t="s">
        <v>538</v>
      </c>
      <c r="C3781" s="955"/>
      <c r="D3781" s="955"/>
      <c r="E3781" s="389"/>
      <c r="F3781" s="411" t="s">
        <v>539</v>
      </c>
      <c r="G3781" s="410"/>
      <c r="H3781" s="249">
        <f t="shared" ref="H3781" si="163">ROUND(H3780*F3781,2)</f>
        <v>21.99</v>
      </c>
    </row>
    <row r="3782" spans="1:10">
      <c r="A3782" s="398"/>
      <c r="B3782" s="956" t="s">
        <v>540</v>
      </c>
      <c r="C3782" s="956"/>
      <c r="D3782" s="956"/>
      <c r="E3782" s="740"/>
      <c r="F3782" s="768"/>
      <c r="G3782" s="769"/>
      <c r="H3782" s="770">
        <f>SUM(H3780:H3781)</f>
        <v>110.08</v>
      </c>
    </row>
    <row r="3783" spans="1:10" s="579" customFormat="1">
      <c r="A3783" s="601"/>
      <c r="B3783" s="780"/>
      <c r="C3783" s="780"/>
      <c r="D3783" s="780"/>
      <c r="E3783" s="740"/>
      <c r="F3783" s="768"/>
      <c r="G3783" s="769"/>
      <c r="H3783" s="770"/>
      <c r="I3783" s="400"/>
      <c r="J3783" s="404"/>
    </row>
    <row r="3784" spans="1:10">
      <c r="A3784" s="403" t="s">
        <v>2614</v>
      </c>
      <c r="B3784" s="961" t="s">
        <v>1292</v>
      </c>
      <c r="C3784" s="961"/>
      <c r="D3784" s="961"/>
      <c r="E3784" s="961"/>
      <c r="F3784" s="961"/>
      <c r="G3784" s="402"/>
      <c r="H3784" s="403" t="s">
        <v>15</v>
      </c>
    </row>
    <row r="3785" spans="1:10">
      <c r="A3785" s="231"/>
      <c r="B3785" s="230" t="s">
        <v>618</v>
      </c>
      <c r="C3785" s="231" t="s">
        <v>97</v>
      </c>
      <c r="D3785" s="401">
        <v>9.7000000000000003E-3</v>
      </c>
      <c r="E3785" s="968">
        <f>Insumos!C956</f>
        <v>31.85</v>
      </c>
      <c r="F3785" s="968"/>
      <c r="G3785" s="958">
        <f>ROUND(D3785*E3785,2)</f>
        <v>0.31</v>
      </c>
      <c r="H3785" s="958"/>
    </row>
    <row r="3786" spans="1:10">
      <c r="A3786" s="231"/>
      <c r="B3786" s="230" t="s">
        <v>549</v>
      </c>
      <c r="C3786" s="231" t="s">
        <v>16</v>
      </c>
      <c r="D3786" s="401">
        <v>3.42</v>
      </c>
      <c r="E3786" s="968">
        <f>Insumos!C957</f>
        <v>0.50050000000000006</v>
      </c>
      <c r="F3786" s="968"/>
      <c r="G3786" s="958">
        <f>ROUND(D3786*E3786,2)</f>
        <v>1.71</v>
      </c>
      <c r="H3786" s="958"/>
    </row>
    <row r="3787" spans="1:10">
      <c r="A3787" s="231"/>
      <c r="B3787" s="230" t="s">
        <v>1293</v>
      </c>
      <c r="C3787" s="231" t="s">
        <v>16</v>
      </c>
      <c r="D3787" s="401">
        <v>21.457999999999998</v>
      </c>
      <c r="E3787" s="968">
        <f>Insumos!C958</f>
        <v>3.1668000000000003</v>
      </c>
      <c r="F3787" s="968"/>
      <c r="G3787" s="958">
        <f t="shared" ref="G3787:G3788" si="164">ROUND(D3787*E3787,2)</f>
        <v>67.95</v>
      </c>
      <c r="H3787" s="958"/>
    </row>
    <row r="3788" spans="1:10">
      <c r="A3788" s="403"/>
      <c r="B3788" s="230" t="s">
        <v>642</v>
      </c>
      <c r="C3788" s="231" t="s">
        <v>16</v>
      </c>
      <c r="D3788" s="401">
        <v>15.425000000000001</v>
      </c>
      <c r="E3788" s="968">
        <f>Insumos!C959</f>
        <v>4.9686000000000003</v>
      </c>
      <c r="F3788" s="968"/>
      <c r="G3788" s="958">
        <f t="shared" si="164"/>
        <v>76.64</v>
      </c>
      <c r="H3788" s="958"/>
    </row>
    <row r="3789" spans="1:10" s="406" customFormat="1" ht="15">
      <c r="A3789" s="398"/>
      <c r="B3789" s="230" t="s">
        <v>535</v>
      </c>
      <c r="C3789" s="231" t="s">
        <v>112</v>
      </c>
      <c r="D3789" s="401">
        <v>1</v>
      </c>
      <c r="E3789" s="968">
        <f>Insumos!C960</f>
        <v>6.4064000000000005</v>
      </c>
      <c r="F3789" s="968"/>
      <c r="G3789" s="958">
        <f>ROUND(D3789*E3789,2)</f>
        <v>6.41</v>
      </c>
      <c r="H3789" s="958"/>
      <c r="I3789" s="407"/>
      <c r="J3789" s="408"/>
    </row>
    <row r="3790" spans="1:10">
      <c r="A3790" s="398"/>
      <c r="B3790" s="230" t="s">
        <v>576</v>
      </c>
      <c r="C3790" s="231" t="s">
        <v>112</v>
      </c>
      <c r="D3790" s="401">
        <v>2.5</v>
      </c>
      <c r="E3790" s="968">
        <f>Insumos!C961</f>
        <v>8.6722999999999999</v>
      </c>
      <c r="F3790" s="968"/>
      <c r="G3790" s="958">
        <f>ROUND(D3790*E3790,2)</f>
        <v>21.68</v>
      </c>
      <c r="H3790" s="958"/>
    </row>
    <row r="3791" spans="1:10">
      <c r="A3791" s="398"/>
      <c r="B3791" s="230" t="s">
        <v>631</v>
      </c>
      <c r="C3791" s="231" t="s">
        <v>112</v>
      </c>
      <c r="D3791" s="401">
        <v>22.129799999999999</v>
      </c>
      <c r="E3791" s="968">
        <f>Insumos!C962</f>
        <v>8.19</v>
      </c>
      <c r="F3791" s="968"/>
      <c r="G3791" s="958">
        <f>ROUND(D3791*E3791,2)</f>
        <v>181.24</v>
      </c>
      <c r="H3791" s="958"/>
    </row>
    <row r="3792" spans="1:10">
      <c r="A3792" s="398"/>
      <c r="B3792" s="955" t="s">
        <v>536</v>
      </c>
      <c r="C3792" s="955"/>
      <c r="D3792" s="955"/>
      <c r="E3792" s="389"/>
      <c r="F3792" s="409"/>
      <c r="G3792" s="410"/>
      <c r="H3792" s="249">
        <f>SUM(G3785:H3788)</f>
        <v>146.61000000000001</v>
      </c>
    </row>
    <row r="3793" spans="1:10">
      <c r="A3793" s="398"/>
      <c r="B3793" s="955" t="s">
        <v>537</v>
      </c>
      <c r="C3793" s="955"/>
      <c r="D3793" s="955"/>
      <c r="E3793" s="389"/>
      <c r="F3793" s="409"/>
      <c r="G3793" s="410"/>
      <c r="H3793" s="249">
        <f>SUM(G3789:H3791)</f>
        <v>209.33</v>
      </c>
    </row>
    <row r="3794" spans="1:10">
      <c r="A3794" s="398"/>
      <c r="B3794" s="955" t="s">
        <v>1937</v>
      </c>
      <c r="C3794" s="955"/>
      <c r="D3794" s="955"/>
      <c r="E3794" s="389"/>
      <c r="F3794" s="409"/>
      <c r="G3794" s="410"/>
      <c r="H3794" s="249">
        <f>SUM(H3792:H3793)</f>
        <v>355.94000000000005</v>
      </c>
    </row>
    <row r="3795" spans="1:10">
      <c r="A3795" s="398"/>
      <c r="B3795" s="955" t="s">
        <v>538</v>
      </c>
      <c r="C3795" s="955"/>
      <c r="D3795" s="955"/>
      <c r="E3795" s="389"/>
      <c r="F3795" s="411" t="s">
        <v>539</v>
      </c>
      <c r="G3795" s="410"/>
      <c r="H3795" s="249">
        <f t="shared" ref="H3795" si="165">ROUND(H3794*F3795,2)</f>
        <v>88.84</v>
      </c>
    </row>
    <row r="3796" spans="1:10">
      <c r="A3796" s="398"/>
      <c r="B3796" s="956" t="s">
        <v>540</v>
      </c>
      <c r="C3796" s="956"/>
      <c r="D3796" s="956"/>
      <c r="E3796" s="740"/>
      <c r="F3796" s="768"/>
      <c r="G3796" s="769"/>
      <c r="H3796" s="770">
        <f>SUM(H3794:H3795)</f>
        <v>444.78000000000009</v>
      </c>
    </row>
    <row r="3797" spans="1:10" s="579" customFormat="1">
      <c r="A3797" s="601"/>
      <c r="B3797" s="780"/>
      <c r="C3797" s="780"/>
      <c r="D3797" s="780"/>
      <c r="E3797" s="740"/>
      <c r="F3797" s="768"/>
      <c r="G3797" s="769"/>
      <c r="H3797" s="770"/>
      <c r="I3797" s="400"/>
      <c r="J3797" s="404"/>
    </row>
    <row r="3798" spans="1:10">
      <c r="A3798" s="403" t="s">
        <v>2615</v>
      </c>
      <c r="B3798" s="961" t="s">
        <v>1294</v>
      </c>
      <c r="C3798" s="961"/>
      <c r="D3798" s="961"/>
      <c r="E3798" s="961"/>
      <c r="F3798" s="961"/>
      <c r="G3798" s="402"/>
      <c r="H3798" s="403" t="s">
        <v>15</v>
      </c>
    </row>
    <row r="3799" spans="1:10" s="406" customFormat="1" ht="15">
      <c r="A3799" s="231"/>
      <c r="B3799" s="230" t="s">
        <v>618</v>
      </c>
      <c r="C3799" s="231" t="s">
        <v>97</v>
      </c>
      <c r="D3799" s="401">
        <v>2.75E-2</v>
      </c>
      <c r="E3799" s="968">
        <f>Insumos!C963</f>
        <v>31.85</v>
      </c>
      <c r="F3799" s="968"/>
      <c r="G3799" s="958">
        <f>ROUND(D3799*E3799,2)</f>
        <v>0.88</v>
      </c>
      <c r="H3799" s="958"/>
      <c r="I3799" s="407"/>
      <c r="J3799" s="408"/>
    </row>
    <row r="3800" spans="1:10">
      <c r="A3800" s="231"/>
      <c r="B3800" s="230" t="s">
        <v>549</v>
      </c>
      <c r="C3800" s="231" t="s">
        <v>16</v>
      </c>
      <c r="D3800" s="401">
        <v>12.1595</v>
      </c>
      <c r="E3800" s="968">
        <f>Insumos!C964</f>
        <v>0.50050000000000006</v>
      </c>
      <c r="F3800" s="968"/>
      <c r="G3800" s="958">
        <f>ROUND(D3800*E3800,2)</f>
        <v>6.09</v>
      </c>
      <c r="H3800" s="958"/>
    </row>
    <row r="3801" spans="1:10">
      <c r="A3801" s="231"/>
      <c r="B3801" s="230" t="s">
        <v>593</v>
      </c>
      <c r="C3801" s="231" t="s">
        <v>15</v>
      </c>
      <c r="D3801" s="401">
        <v>0.13070000000000001</v>
      </c>
      <c r="E3801" s="968">
        <f>Insumos!C965</f>
        <v>6.6794000000000002</v>
      </c>
      <c r="F3801" s="968"/>
      <c r="G3801" s="958">
        <f t="shared" ref="G3801:G3802" si="166">ROUND(D3801*E3801,2)</f>
        <v>0.87</v>
      </c>
      <c r="H3801" s="958"/>
    </row>
    <row r="3802" spans="1:10">
      <c r="A3802" s="403"/>
      <c r="B3802" s="230" t="s">
        <v>1246</v>
      </c>
      <c r="C3802" s="231" t="s">
        <v>97</v>
      </c>
      <c r="D3802" s="401">
        <v>1.4999999999999999E-2</v>
      </c>
      <c r="E3802" s="968">
        <f>Insumos!C966</f>
        <v>81.900000000000006</v>
      </c>
      <c r="F3802" s="968"/>
      <c r="G3802" s="958">
        <f t="shared" si="166"/>
        <v>1.23</v>
      </c>
      <c r="H3802" s="958"/>
    </row>
    <row r="3803" spans="1:10">
      <c r="A3803" s="398"/>
      <c r="B3803" s="230" t="s">
        <v>1295</v>
      </c>
      <c r="C3803" s="231" t="s">
        <v>97</v>
      </c>
      <c r="D3803" s="401">
        <v>1.4999999999999999E-2</v>
      </c>
      <c r="E3803" s="968">
        <f>Insumos!C967</f>
        <v>86.45</v>
      </c>
      <c r="F3803" s="968"/>
      <c r="G3803" s="958">
        <f>ROUND(D3803*E3803,2)</f>
        <v>1.3</v>
      </c>
      <c r="H3803" s="958"/>
    </row>
    <row r="3804" spans="1:10">
      <c r="A3804" s="398"/>
      <c r="B3804" s="230" t="s">
        <v>535</v>
      </c>
      <c r="C3804" s="231" t="s">
        <v>112</v>
      </c>
      <c r="D3804" s="401">
        <v>1</v>
      </c>
      <c r="E3804" s="968">
        <f>Insumos!C968</f>
        <v>6.4064000000000005</v>
      </c>
      <c r="F3804" s="968"/>
      <c r="G3804" s="958">
        <f>ROUND(D3804*E3804,2)</f>
        <v>6.41</v>
      </c>
      <c r="H3804" s="958"/>
    </row>
    <row r="3805" spans="1:10">
      <c r="A3805" s="398"/>
      <c r="B3805" s="230" t="s">
        <v>576</v>
      </c>
      <c r="C3805" s="231" t="s">
        <v>112</v>
      </c>
      <c r="D3805" s="401">
        <v>2.5</v>
      </c>
      <c r="E3805" s="968">
        <f>Insumos!C969</f>
        <v>8.6722999999999999</v>
      </c>
      <c r="F3805" s="968"/>
      <c r="G3805" s="958">
        <f>ROUND(D3805*E3805,2)</f>
        <v>21.68</v>
      </c>
      <c r="H3805" s="958"/>
    </row>
    <row r="3806" spans="1:10">
      <c r="A3806" s="398"/>
      <c r="B3806" s="955" t="s">
        <v>536</v>
      </c>
      <c r="C3806" s="955"/>
      <c r="D3806" s="955"/>
      <c r="E3806" s="389"/>
      <c r="F3806" s="409"/>
      <c r="G3806" s="410"/>
      <c r="H3806" s="249">
        <f>SUM(G3799:H3802)</f>
        <v>9.07</v>
      </c>
    </row>
    <row r="3807" spans="1:10">
      <c r="A3807" s="398"/>
      <c r="B3807" s="955" t="s">
        <v>537</v>
      </c>
      <c r="C3807" s="955"/>
      <c r="D3807" s="955"/>
      <c r="E3807" s="389"/>
      <c r="F3807" s="409"/>
      <c r="G3807" s="410"/>
      <c r="H3807" s="249">
        <f>SUM(G3803:H3805)</f>
        <v>29.39</v>
      </c>
    </row>
    <row r="3808" spans="1:10" s="406" customFormat="1" ht="15">
      <c r="A3808" s="398"/>
      <c r="B3808" s="955" t="s">
        <v>1937</v>
      </c>
      <c r="C3808" s="955"/>
      <c r="D3808" s="955"/>
      <c r="E3808" s="389"/>
      <c r="F3808" s="409"/>
      <c r="G3808" s="410"/>
      <c r="H3808" s="249">
        <f>SUM(H3806:H3807)</f>
        <v>38.46</v>
      </c>
      <c r="I3808" s="407"/>
      <c r="J3808" s="408"/>
    </row>
    <row r="3809" spans="1:10">
      <c r="A3809" s="398"/>
      <c r="B3809" s="955" t="s">
        <v>538</v>
      </c>
      <c r="C3809" s="955"/>
      <c r="D3809" s="955"/>
      <c r="E3809" s="389"/>
      <c r="F3809" s="411" t="s">
        <v>539</v>
      </c>
      <c r="G3809" s="410"/>
      <c r="H3809" s="249">
        <f t="shared" ref="H3809" si="167">ROUND(H3808*F3809,2)</f>
        <v>9.6</v>
      </c>
    </row>
    <row r="3810" spans="1:10">
      <c r="A3810" s="398"/>
      <c r="B3810" s="956" t="s">
        <v>540</v>
      </c>
      <c r="C3810" s="956"/>
      <c r="D3810" s="956"/>
      <c r="E3810" s="740"/>
      <c r="F3810" s="768"/>
      <c r="G3810" s="769"/>
      <c r="H3810" s="770">
        <f>SUM(H3808:H3809)</f>
        <v>48.06</v>
      </c>
      <c r="I3810" s="794"/>
    </row>
    <row r="3811" spans="1:10" s="579" customFormat="1">
      <c r="A3811" s="601"/>
      <c r="B3811" s="780"/>
      <c r="C3811" s="780"/>
      <c r="D3811" s="780"/>
      <c r="E3811" s="740"/>
      <c r="F3811" s="768"/>
      <c r="G3811" s="769"/>
      <c r="H3811" s="770"/>
      <c r="I3811" s="794"/>
      <c r="J3811" s="404"/>
    </row>
    <row r="3812" spans="1:10">
      <c r="A3812" s="403" t="s">
        <v>2616</v>
      </c>
      <c r="B3812" s="961" t="s">
        <v>2029</v>
      </c>
      <c r="C3812" s="961"/>
      <c r="D3812" s="961"/>
      <c r="E3812" s="961"/>
      <c r="F3812" s="961"/>
      <c r="G3812" s="463"/>
      <c r="H3812" s="403" t="s">
        <v>88</v>
      </c>
    </row>
    <row r="3813" spans="1:10" s="406" customFormat="1" ht="15">
      <c r="A3813" s="231"/>
      <c r="B3813" s="230" t="s">
        <v>2097</v>
      </c>
      <c r="C3813" s="231" t="s">
        <v>97</v>
      </c>
      <c r="D3813" s="401">
        <v>0.11</v>
      </c>
      <c r="E3813" s="968">
        <f>Insumos!C114</f>
        <v>31.85</v>
      </c>
      <c r="F3813" s="968"/>
      <c r="G3813" s="958">
        <f>ROUND(D3813*E3813,2)</f>
        <v>3.5</v>
      </c>
      <c r="H3813" s="958"/>
      <c r="I3813" s="407"/>
      <c r="J3813" s="408"/>
    </row>
    <row r="3814" spans="1:10">
      <c r="A3814" s="231"/>
      <c r="B3814" s="230" t="s">
        <v>2098</v>
      </c>
      <c r="C3814" s="231" t="s">
        <v>97</v>
      </c>
      <c r="D3814" s="401">
        <v>5.6000000000000001E-2</v>
      </c>
      <c r="E3814" s="968">
        <f>Insumos!C31</f>
        <v>81.900000000000006</v>
      </c>
      <c r="F3814" s="968"/>
      <c r="G3814" s="958">
        <f>ROUND(D3814*E3814,2)</f>
        <v>4.59</v>
      </c>
      <c r="H3814" s="958"/>
    </row>
    <row r="3815" spans="1:10">
      <c r="A3815" s="231"/>
      <c r="B3815" s="230" t="s">
        <v>2114</v>
      </c>
      <c r="C3815" s="231" t="s">
        <v>2113</v>
      </c>
      <c r="D3815" s="401">
        <v>0.75</v>
      </c>
      <c r="E3815" s="968">
        <v>32.880000000000003</v>
      </c>
      <c r="F3815" s="968"/>
      <c r="G3815" s="958">
        <f t="shared" ref="G3815:G3816" si="168">ROUND(D3815*E3815,2)</f>
        <v>24.66</v>
      </c>
      <c r="H3815" s="958"/>
      <c r="J3815" s="433"/>
    </row>
    <row r="3816" spans="1:10">
      <c r="A3816" s="403"/>
      <c r="B3816" s="230" t="s">
        <v>633</v>
      </c>
      <c r="C3816" s="231" t="s">
        <v>14</v>
      </c>
      <c r="D3816" s="401">
        <v>42</v>
      </c>
      <c r="E3816" s="968">
        <f>Insumos!C156</f>
        <v>0.52779999999999994</v>
      </c>
      <c r="F3816" s="968"/>
      <c r="G3816" s="958">
        <f t="shared" si="168"/>
        <v>22.17</v>
      </c>
      <c r="H3816" s="958"/>
    </row>
    <row r="3817" spans="1:10">
      <c r="A3817" s="398"/>
      <c r="B3817" s="230" t="s">
        <v>576</v>
      </c>
      <c r="C3817" s="231" t="s">
        <v>112</v>
      </c>
      <c r="D3817" s="401">
        <v>2</v>
      </c>
      <c r="E3817" s="968">
        <f>Insumos!C982</f>
        <v>8.6722999999999999</v>
      </c>
      <c r="F3817" s="968"/>
      <c r="G3817" s="958">
        <f>ROUND(D3817*E3817,2)</f>
        <v>17.34</v>
      </c>
      <c r="H3817" s="958"/>
    </row>
    <row r="3818" spans="1:10">
      <c r="A3818" s="398"/>
      <c r="B3818" s="230" t="s">
        <v>535</v>
      </c>
      <c r="C3818" s="231" t="s">
        <v>112</v>
      </c>
      <c r="D3818" s="401">
        <v>4.3499999999999996</v>
      </c>
      <c r="E3818" s="968">
        <f>Insumos!C981</f>
        <v>6.4064000000000005</v>
      </c>
      <c r="F3818" s="968"/>
      <c r="G3818" s="958">
        <f>ROUND(D3818*E3818,2)</f>
        <v>27.87</v>
      </c>
      <c r="H3818" s="958"/>
    </row>
    <row r="3819" spans="1:10">
      <c r="A3819" s="398"/>
      <c r="B3819" s="955" t="s">
        <v>536</v>
      </c>
      <c r="C3819" s="955"/>
      <c r="D3819" s="955"/>
      <c r="E3819" s="397"/>
      <c r="F3819" s="409"/>
      <c r="G3819" s="410"/>
      <c r="H3819" s="249">
        <f>SUM(G3813:H3816)</f>
        <v>54.92</v>
      </c>
    </row>
    <row r="3820" spans="1:10">
      <c r="A3820" s="398"/>
      <c r="B3820" s="955" t="s">
        <v>537</v>
      </c>
      <c r="C3820" s="955"/>
      <c r="D3820" s="955"/>
      <c r="E3820" s="397"/>
      <c r="F3820" s="409"/>
      <c r="G3820" s="410"/>
      <c r="H3820" s="249">
        <f>SUM(G3817:H3818)</f>
        <v>45.21</v>
      </c>
    </row>
    <row r="3821" spans="1:10" s="406" customFormat="1" ht="15">
      <c r="A3821" s="398"/>
      <c r="B3821" s="955" t="s">
        <v>1937</v>
      </c>
      <c r="C3821" s="955"/>
      <c r="D3821" s="955"/>
      <c r="E3821" s="397"/>
      <c r="F3821" s="409"/>
      <c r="G3821" s="410"/>
      <c r="H3821" s="249">
        <f>SUM(H3819:H3820)</f>
        <v>100.13</v>
      </c>
      <c r="I3821" s="407"/>
      <c r="J3821" s="408"/>
    </row>
    <row r="3822" spans="1:10">
      <c r="A3822" s="398"/>
      <c r="B3822" s="955" t="s">
        <v>538</v>
      </c>
      <c r="C3822" s="955"/>
      <c r="D3822" s="955"/>
      <c r="E3822" s="397"/>
      <c r="F3822" s="411" t="s">
        <v>539</v>
      </c>
      <c r="G3822" s="410"/>
      <c r="H3822" s="249">
        <f t="shared" ref="H3822" si="169">ROUND(H3821*F3822,2)</f>
        <v>24.99</v>
      </c>
    </row>
    <row r="3823" spans="1:10">
      <c r="A3823" s="398"/>
      <c r="B3823" s="956" t="s">
        <v>540</v>
      </c>
      <c r="C3823" s="956"/>
      <c r="D3823" s="956"/>
      <c r="E3823" s="740"/>
      <c r="F3823" s="768"/>
      <c r="G3823" s="769"/>
      <c r="H3823" s="770">
        <f>SUM(H3821:H3822)</f>
        <v>125.11999999999999</v>
      </c>
    </row>
    <row r="3824" spans="1:10" s="167" customFormat="1" ht="32.1" customHeight="1">
      <c r="A3824" s="172"/>
      <c r="B3824" s="967"/>
      <c r="C3824" s="967"/>
      <c r="D3824" s="967"/>
      <c r="E3824" s="967"/>
      <c r="F3824" s="967"/>
      <c r="G3824" s="171"/>
      <c r="H3824" s="330"/>
      <c r="I3824" s="326"/>
      <c r="J3824" s="344"/>
    </row>
  </sheetData>
  <autoFilter ref="A9:K3823">
    <filterColumn colId="6" showButton="0"/>
  </autoFilter>
  <mergeCells count="4895">
    <mergeCell ref="I219:I225"/>
    <mergeCell ref="B272:F272"/>
    <mergeCell ref="E275:F275"/>
    <mergeCell ref="G275:H275"/>
    <mergeCell ref="E276:F276"/>
    <mergeCell ref="G276:H276"/>
    <mergeCell ref="E273:F273"/>
    <mergeCell ref="G273:H273"/>
    <mergeCell ref="E274:F274"/>
    <mergeCell ref="G274:H274"/>
    <mergeCell ref="B364:F364"/>
    <mergeCell ref="E365:F365"/>
    <mergeCell ref="B331:F331"/>
    <mergeCell ref="E3728:F3728"/>
    <mergeCell ref="G3728:H3728"/>
    <mergeCell ref="G3641:H3641"/>
    <mergeCell ref="E3642:F3642"/>
    <mergeCell ref="G3642:H3642"/>
    <mergeCell ref="E3643:F3643"/>
    <mergeCell ref="G3643:H3643"/>
    <mergeCell ref="E3647:F3647"/>
    <mergeCell ref="G3647:H3647"/>
    <mergeCell ref="E3648:F3648"/>
    <mergeCell ref="G3648:H3648"/>
    <mergeCell ref="E3649:F3649"/>
    <mergeCell ref="G3649:H3649"/>
    <mergeCell ref="G1114:H1114"/>
    <mergeCell ref="E1114:F1114"/>
    <mergeCell ref="G1113:H1113"/>
    <mergeCell ref="E1113:F1113"/>
    <mergeCell ref="B1112:F1112"/>
    <mergeCell ref="B1123:D1123"/>
    <mergeCell ref="E3776:F3776"/>
    <mergeCell ref="G3776:H3776"/>
    <mergeCell ref="E3777:F3777"/>
    <mergeCell ref="G3777:H3777"/>
    <mergeCell ref="E3650:F3650"/>
    <mergeCell ref="G3650:H3650"/>
    <mergeCell ref="E3598:F3598"/>
    <mergeCell ref="G3598:H3598"/>
    <mergeCell ref="E3599:F3599"/>
    <mergeCell ref="G3599:H3599"/>
    <mergeCell ref="E3600:F3600"/>
    <mergeCell ref="G3600:H3600"/>
    <mergeCell ref="E3601:F3601"/>
    <mergeCell ref="G3601:H3601"/>
    <mergeCell ref="E3602:F3602"/>
    <mergeCell ref="G3602:H3602"/>
    <mergeCell ref="E3603:F3603"/>
    <mergeCell ref="G3618:H3618"/>
    <mergeCell ref="G3619:H3619"/>
    <mergeCell ref="G3620:H3620"/>
    <mergeCell ref="G3621:H3621"/>
    <mergeCell ref="G3622:H3622"/>
    <mergeCell ref="G3623:H3623"/>
    <mergeCell ref="G3628:H3628"/>
    <mergeCell ref="E3619:F3619"/>
    <mergeCell ref="E3620:F3620"/>
    <mergeCell ref="E3621:F3621"/>
    <mergeCell ref="E3622:F3622"/>
    <mergeCell ref="E3623:F3623"/>
    <mergeCell ref="E3628:F3628"/>
    <mergeCell ref="E3641:F3641"/>
    <mergeCell ref="E3608:F3608"/>
    <mergeCell ref="B1437:F1437"/>
    <mergeCell ref="B1200:D1200"/>
    <mergeCell ref="B1201:D1201"/>
    <mergeCell ref="E3639:F3639"/>
    <mergeCell ref="G3639:H3639"/>
    <mergeCell ref="E3640:F3640"/>
    <mergeCell ref="G3640:H3640"/>
    <mergeCell ref="B1442:D1442"/>
    <mergeCell ref="B1443:D1443"/>
    <mergeCell ref="B1444:D1444"/>
    <mergeCell ref="B1446:F1446"/>
    <mergeCell ref="E1447:F1447"/>
    <mergeCell ref="G1447:H1447"/>
    <mergeCell ref="E1448:F1448"/>
    <mergeCell ref="E2109:F2109"/>
    <mergeCell ref="B3617:F3617"/>
    <mergeCell ref="E3618:F3618"/>
    <mergeCell ref="G1240:H1240"/>
    <mergeCell ref="E1438:F1438"/>
    <mergeCell ref="G1438:H1438"/>
    <mergeCell ref="E3609:F3609"/>
    <mergeCell ref="G3609:H3609"/>
    <mergeCell ref="E3610:F3610"/>
    <mergeCell ref="G3610:H3610"/>
    <mergeCell ref="G3624:H3624"/>
    <mergeCell ref="E3638:F3638"/>
    <mergeCell ref="G3638:H3638"/>
    <mergeCell ref="G3603:H3603"/>
    <mergeCell ref="E3607:F3607"/>
    <mergeCell ref="G3607:H3607"/>
    <mergeCell ref="B2085:D2085"/>
    <mergeCell ref="B2087:F2087"/>
    <mergeCell ref="E2088:F2088"/>
    <mergeCell ref="G2088:H2088"/>
    <mergeCell ref="E2070:F2070"/>
    <mergeCell ref="G2070:H2070"/>
    <mergeCell ref="B2071:D2071"/>
    <mergeCell ref="B2072:D2072"/>
    <mergeCell ref="B2081:D2081"/>
    <mergeCell ref="E2118:F2118"/>
    <mergeCell ref="G2118:H2118"/>
    <mergeCell ref="E2119:F2119"/>
    <mergeCell ref="G2119:H2119"/>
    <mergeCell ref="E2120:F2120"/>
    <mergeCell ref="G2120:H2120"/>
    <mergeCell ref="G3608:H3608"/>
    <mergeCell ref="E662:F662"/>
    <mergeCell ref="G662:H662"/>
    <mergeCell ref="E663:F663"/>
    <mergeCell ref="G663:H663"/>
    <mergeCell ref="B799:D799"/>
    <mergeCell ref="G807:H807"/>
    <mergeCell ref="E808:F808"/>
    <mergeCell ref="B1107:D1107"/>
    <mergeCell ref="B1095:D1095"/>
    <mergeCell ref="B1096:D1096"/>
    <mergeCell ref="E1101:F1101"/>
    <mergeCell ref="G1101:H1101"/>
    <mergeCell ref="E1102:F1102"/>
    <mergeCell ref="G1102:H1102"/>
    <mergeCell ref="B1103:D1103"/>
    <mergeCell ref="B1104:D1104"/>
    <mergeCell ref="B1105:D1105"/>
    <mergeCell ref="B1106:D1106"/>
    <mergeCell ref="B1048:D1048"/>
    <mergeCell ref="B1051:F1051"/>
    <mergeCell ref="G1052:H1052"/>
    <mergeCell ref="E837:F837"/>
    <mergeCell ref="G837:H837"/>
    <mergeCell ref="E838:F838"/>
    <mergeCell ref="E841:F841"/>
    <mergeCell ref="G841:H841"/>
    <mergeCell ref="B801:D801"/>
    <mergeCell ref="G838:H838"/>
    <mergeCell ref="G2109:H2109"/>
    <mergeCell ref="B2083:D2083"/>
    <mergeCell ref="B2084:D2084"/>
    <mergeCell ref="G263:H263"/>
    <mergeCell ref="B264:D264"/>
    <mergeCell ref="B296:D296"/>
    <mergeCell ref="B297:D297"/>
    <mergeCell ref="G301:H301"/>
    <mergeCell ref="E302:F302"/>
    <mergeCell ref="E615:F615"/>
    <mergeCell ref="G615:H615"/>
    <mergeCell ref="B616:D616"/>
    <mergeCell ref="B617:D617"/>
    <mergeCell ref="B618:D618"/>
    <mergeCell ref="E602:F602"/>
    <mergeCell ref="B374:D374"/>
    <mergeCell ref="B375:D375"/>
    <mergeCell ref="G365:H365"/>
    <mergeCell ref="E366:F366"/>
    <mergeCell ref="G366:H366"/>
    <mergeCell ref="E2068:F2068"/>
    <mergeCell ref="G2068:H2068"/>
    <mergeCell ref="B12:F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B19:D19"/>
    <mergeCell ref="B20:D20"/>
    <mergeCell ref="G191:H191"/>
    <mergeCell ref="G167:H167"/>
    <mergeCell ref="B168:D168"/>
    <mergeCell ref="B169:D169"/>
    <mergeCell ref="B152:D152"/>
    <mergeCell ref="B153:D153"/>
    <mergeCell ref="B154:D154"/>
    <mergeCell ref="B155:D155"/>
    <mergeCell ref="B171:D171"/>
    <mergeCell ref="B166:F166"/>
    <mergeCell ref="E167:F167"/>
    <mergeCell ref="E183:F183"/>
    <mergeCell ref="B158:F158"/>
    <mergeCell ref="E159:F159"/>
    <mergeCell ref="B146:D146"/>
    <mergeCell ref="B147:D147"/>
    <mergeCell ref="G183:H183"/>
    <mergeCell ref="G247:H247"/>
    <mergeCell ref="B256:D256"/>
    <mergeCell ref="G292:H292"/>
    <mergeCell ref="E356:F356"/>
    <mergeCell ref="B349:D349"/>
    <mergeCell ref="E348:F348"/>
    <mergeCell ref="B347:F347"/>
    <mergeCell ref="B315:F315"/>
    <mergeCell ref="B314:F314"/>
    <mergeCell ref="G238:H238"/>
    <mergeCell ref="B239:D239"/>
    <mergeCell ref="B240:D240"/>
    <mergeCell ref="B241:D241"/>
    <mergeCell ref="B184:D184"/>
    <mergeCell ref="B185:D185"/>
    <mergeCell ref="B186:D186"/>
    <mergeCell ref="E211:F211"/>
    <mergeCell ref="E212:F212"/>
    <mergeCell ref="G306:H306"/>
    <mergeCell ref="E301:F301"/>
    <mergeCell ref="B198:F198"/>
    <mergeCell ref="B213:D213"/>
    <mergeCell ref="B355:F355"/>
    <mergeCell ref="B214:D214"/>
    <mergeCell ref="B215:D215"/>
    <mergeCell ref="B216:D216"/>
    <mergeCell ref="B195:D195"/>
    <mergeCell ref="B196:D196"/>
    <mergeCell ref="B207:F207"/>
    <mergeCell ref="E208:F208"/>
    <mergeCell ref="B267:D267"/>
    <mergeCell ref="B270:F270"/>
    <mergeCell ref="E2069:F2069"/>
    <mergeCell ref="G2069:H2069"/>
    <mergeCell ref="B248:D248"/>
    <mergeCell ref="B249:D249"/>
    <mergeCell ref="B250:D250"/>
    <mergeCell ref="B251:D251"/>
    <mergeCell ref="B254:F254"/>
    <mergeCell ref="E255:F255"/>
    <mergeCell ref="G255:H255"/>
    <mergeCell ref="B353:D353"/>
    <mergeCell ref="B352:D352"/>
    <mergeCell ref="B351:D351"/>
    <mergeCell ref="G302:H302"/>
    <mergeCell ref="E303:F303"/>
    <mergeCell ref="G303:H303"/>
    <mergeCell ref="G304:H304"/>
    <mergeCell ref="G305:H305"/>
    <mergeCell ref="E304:F304"/>
    <mergeCell ref="E305:F305"/>
    <mergeCell ref="E306:F306"/>
    <mergeCell ref="G293:H293"/>
    <mergeCell ref="B294:D294"/>
    <mergeCell ref="B295:D295"/>
    <mergeCell ref="B877:D877"/>
    <mergeCell ref="B878:D878"/>
    <mergeCell ref="E817:F817"/>
    <mergeCell ref="B834:D834"/>
    <mergeCell ref="B836:F836"/>
    <mergeCell ref="G861:H861"/>
    <mergeCell ref="E862:F862"/>
    <mergeCell ref="G839:H839"/>
    <mergeCell ref="E840:F840"/>
    <mergeCell ref="G840:H840"/>
    <mergeCell ref="B802:D802"/>
    <mergeCell ref="B803:D803"/>
    <mergeCell ref="G661:H661"/>
    <mergeCell ref="E307:F307"/>
    <mergeCell ref="B350:D350"/>
    <mergeCell ref="B866:D866"/>
    <mergeCell ref="B867:D867"/>
    <mergeCell ref="B854:D854"/>
    <mergeCell ref="B809:D809"/>
    <mergeCell ref="E719:F719"/>
    <mergeCell ref="G719:H719"/>
    <mergeCell ref="B720:D720"/>
    <mergeCell ref="B827:F827"/>
    <mergeCell ref="E828:F828"/>
    <mergeCell ref="G828:H828"/>
    <mergeCell ref="B721:D721"/>
    <mergeCell ref="G819:H819"/>
    <mergeCell ref="E820:F820"/>
    <mergeCell ref="G820:H820"/>
    <mergeCell ref="B823:D823"/>
    <mergeCell ref="E367:F367"/>
    <mergeCell ref="G367:H367"/>
    <mergeCell ref="E368:F368"/>
    <mergeCell ref="G348:H348"/>
    <mergeCell ref="G356:H356"/>
    <mergeCell ref="B606:D606"/>
    <mergeCell ref="E604:F604"/>
    <mergeCell ref="G604:H604"/>
    <mergeCell ref="E842:F842"/>
    <mergeCell ref="G842:H842"/>
    <mergeCell ref="E843:F843"/>
    <mergeCell ref="G2108:H2108"/>
    <mergeCell ref="E2089:F2089"/>
    <mergeCell ref="G2089:H2089"/>
    <mergeCell ref="E2090:F2090"/>
    <mergeCell ref="G2090:H2090"/>
    <mergeCell ref="B2091:D2091"/>
    <mergeCell ref="B2092:D2092"/>
    <mergeCell ref="B2093:D2093"/>
    <mergeCell ref="B2094:D2094"/>
    <mergeCell ref="B2095:D2095"/>
    <mergeCell ref="B2097:F2097"/>
    <mergeCell ref="E2098:F2098"/>
    <mergeCell ref="G2098:H2098"/>
    <mergeCell ref="E2099:F2099"/>
    <mergeCell ref="G2099:H2099"/>
    <mergeCell ref="B170:D170"/>
    <mergeCell ref="B21:D21"/>
    <mergeCell ref="B22:D22"/>
    <mergeCell ref="B23:D23"/>
    <mergeCell ref="G175:H175"/>
    <mergeCell ref="B176:D176"/>
    <mergeCell ref="B177:D177"/>
    <mergeCell ref="B178:D178"/>
    <mergeCell ref="B179:D179"/>
    <mergeCell ref="B180:D180"/>
    <mergeCell ref="B182:F182"/>
    <mergeCell ref="B149:F149"/>
    <mergeCell ref="B150:F150"/>
    <mergeCell ref="E896:F896"/>
    <mergeCell ref="B291:F291"/>
    <mergeCell ref="E292:F292"/>
    <mergeCell ref="E293:F293"/>
    <mergeCell ref="B2124:D2124"/>
    <mergeCell ref="E2100:F2100"/>
    <mergeCell ref="G2100:H2100"/>
    <mergeCell ref="B2101:D2101"/>
    <mergeCell ref="B2102:D2102"/>
    <mergeCell ref="B2103:D2103"/>
    <mergeCell ref="B2104:D2104"/>
    <mergeCell ref="B2105:D2105"/>
    <mergeCell ref="B2107:F2107"/>
    <mergeCell ref="E2108:F2108"/>
    <mergeCell ref="E2078:F2078"/>
    <mergeCell ref="G2078:H2078"/>
    <mergeCell ref="E2079:F2079"/>
    <mergeCell ref="G2079:H2079"/>
    <mergeCell ref="E2080:F2080"/>
    <mergeCell ref="G2080:H2080"/>
    <mergeCell ref="B1947:D1947"/>
    <mergeCell ref="B1971:F1971"/>
    <mergeCell ref="E1972:F1972"/>
    <mergeCell ref="G1972:H1972"/>
    <mergeCell ref="B2025:D2025"/>
    <mergeCell ref="B2026:D2026"/>
    <mergeCell ref="B2027:D2027"/>
    <mergeCell ref="B2028:D2028"/>
    <mergeCell ref="B2029:D2029"/>
    <mergeCell ref="E1973:F1973"/>
    <mergeCell ref="E1974:F1974"/>
    <mergeCell ref="B1948:D1948"/>
    <mergeCell ref="B2121:D2121"/>
    <mergeCell ref="B2122:D2122"/>
    <mergeCell ref="B2123:D2123"/>
    <mergeCell ref="B2082:D2082"/>
    <mergeCell ref="B2073:D2073"/>
    <mergeCell ref="B2074:D2074"/>
    <mergeCell ref="B2075:D2075"/>
    <mergeCell ref="B2077:F2077"/>
    <mergeCell ref="B1975:D1975"/>
    <mergeCell ref="B1976:D1976"/>
    <mergeCell ref="B1977:D1977"/>
    <mergeCell ref="B1122:D1122"/>
    <mergeCell ref="B1121:D1121"/>
    <mergeCell ref="E966:F966"/>
    <mergeCell ref="E967:F967"/>
    <mergeCell ref="E968:F968"/>
    <mergeCell ref="E969:F969"/>
    <mergeCell ref="E2048:F2048"/>
    <mergeCell ref="E1160:F1160"/>
    <mergeCell ref="B1194:F1194"/>
    <mergeCell ref="E1195:F1195"/>
    <mergeCell ref="E1164:F1164"/>
    <mergeCell ref="B1202:D1202"/>
    <mergeCell ref="B1968:D1968"/>
    <mergeCell ref="B1969:D1969"/>
    <mergeCell ref="E2049:F2049"/>
    <mergeCell ref="B2063:D2063"/>
    <mergeCell ref="B2064:D2064"/>
    <mergeCell ref="B2065:D2065"/>
    <mergeCell ref="B2067:F2067"/>
    <mergeCell ref="B990:F990"/>
    <mergeCell ref="B1965:D1965"/>
    <mergeCell ref="B1966:D1966"/>
    <mergeCell ref="B1406:D1406"/>
    <mergeCell ref="B1407:D1407"/>
    <mergeCell ref="B1408:D1408"/>
    <mergeCell ref="B988:D988"/>
    <mergeCell ref="E1089:F1089"/>
    <mergeCell ref="E1077:F1077"/>
    <mergeCell ref="E1053:F1053"/>
    <mergeCell ref="E1052:F1052"/>
    <mergeCell ref="B1967:D1967"/>
    <mergeCell ref="B1226:F1226"/>
    <mergeCell ref="B1227:F1227"/>
    <mergeCell ref="E964:F964"/>
    <mergeCell ref="B1978:D1978"/>
    <mergeCell ref="B1979:D1979"/>
    <mergeCell ref="B1981:F1981"/>
    <mergeCell ref="E1982:F1982"/>
    <mergeCell ref="E1983:F1983"/>
    <mergeCell ref="E1984:F1984"/>
    <mergeCell ref="B1985:D1985"/>
    <mergeCell ref="B2015:D2015"/>
    <mergeCell ref="B1401:F1401"/>
    <mergeCell ref="E1402:F1402"/>
    <mergeCell ref="B1707:F1707"/>
    <mergeCell ref="E1708:F1708"/>
    <mergeCell ref="E1709:F1709"/>
    <mergeCell ref="B1405:D1405"/>
    <mergeCell ref="B1204:D1204"/>
    <mergeCell ref="B1214:D1214"/>
    <mergeCell ref="B1206:F1206"/>
    <mergeCell ref="E1207:F1207"/>
    <mergeCell ref="E1209:F1209"/>
    <mergeCell ref="E1210:F1210"/>
    <mergeCell ref="B1391:F1391"/>
    <mergeCell ref="B1460:D1460"/>
    <mergeCell ref="B1461:D1461"/>
    <mergeCell ref="B2062:D2062"/>
    <mergeCell ref="B2041:F2041"/>
    <mergeCell ref="E2042:F2042"/>
    <mergeCell ref="G2042:H2042"/>
    <mergeCell ref="E2043:F2043"/>
    <mergeCell ref="G2043:H2043"/>
    <mergeCell ref="E2044:F2044"/>
    <mergeCell ref="G2044:H2044"/>
    <mergeCell ref="G1720:H1720"/>
    <mergeCell ref="G1686:H1686"/>
    <mergeCell ref="B1458:D1458"/>
    <mergeCell ref="B1459:D1459"/>
    <mergeCell ref="G1120:H1120"/>
    <mergeCell ref="E1120:F1120"/>
    <mergeCell ref="G1119:H1119"/>
    <mergeCell ref="E1962:F1962"/>
    <mergeCell ref="G1962:H1962"/>
    <mergeCell ref="E1963:F1963"/>
    <mergeCell ref="G1963:H1963"/>
    <mergeCell ref="E1964:F1964"/>
    <mergeCell ref="G1974:H1974"/>
    <mergeCell ref="G2048:H2048"/>
    <mergeCell ref="G1964:H1964"/>
    <mergeCell ref="G1718:H1718"/>
    <mergeCell ref="G1708:H1708"/>
    <mergeCell ref="G1709:H1709"/>
    <mergeCell ref="G1719:H1719"/>
    <mergeCell ref="G1207:H1207"/>
    <mergeCell ref="G1208:H1208"/>
    <mergeCell ref="G1209:H1209"/>
    <mergeCell ref="E1403:F1403"/>
    <mergeCell ref="G1403:H1403"/>
    <mergeCell ref="B2016:D2016"/>
    <mergeCell ref="G2049:H2049"/>
    <mergeCell ref="B3113:D3113"/>
    <mergeCell ref="B2125:D2125"/>
    <mergeCell ref="B2127:F2127"/>
    <mergeCell ref="B3093:F3093"/>
    <mergeCell ref="E1992:F1992"/>
    <mergeCell ref="G1982:H1982"/>
    <mergeCell ref="G1983:H1983"/>
    <mergeCell ref="G1984:H1984"/>
    <mergeCell ref="E2128:F2128"/>
    <mergeCell ref="G2128:H2128"/>
    <mergeCell ref="B2129:D2129"/>
    <mergeCell ref="B2130:D2130"/>
    <mergeCell ref="B2131:D2131"/>
    <mergeCell ref="B2132:D2132"/>
    <mergeCell ref="B2133:D2133"/>
    <mergeCell ref="E2110:F2110"/>
    <mergeCell ref="B1987:D1987"/>
    <mergeCell ref="B1988:D1988"/>
    <mergeCell ref="B1989:D1989"/>
    <mergeCell ref="B1991:F1991"/>
    <mergeCell ref="B1986:D1986"/>
    <mergeCell ref="G1992:H1992"/>
    <mergeCell ref="E2045:F2045"/>
    <mergeCell ref="G2045:H2045"/>
    <mergeCell ref="B3040:D3040"/>
    <mergeCell ref="B3041:D3041"/>
    <mergeCell ref="E3094:F3094"/>
    <mergeCell ref="B2052:D2052"/>
    <mergeCell ref="B2053:D2053"/>
    <mergeCell ref="B2054:D2054"/>
    <mergeCell ref="B3117:F3117"/>
    <mergeCell ref="G2022:H2022"/>
    <mergeCell ref="E2023:F2023"/>
    <mergeCell ref="G2023:H2023"/>
    <mergeCell ref="E2024:F2024"/>
    <mergeCell ref="G2024:H2024"/>
    <mergeCell ref="B3677:D3677"/>
    <mergeCell ref="B3662:D3662"/>
    <mergeCell ref="B3663:D3663"/>
    <mergeCell ref="B3664:D3664"/>
    <mergeCell ref="E2050:F2050"/>
    <mergeCell ref="G2050:H2050"/>
    <mergeCell ref="B2057:F2057"/>
    <mergeCell ref="E2058:F2058"/>
    <mergeCell ref="G2058:H2058"/>
    <mergeCell ref="E2059:F2059"/>
    <mergeCell ref="G2059:H2059"/>
    <mergeCell ref="E2060:F2060"/>
    <mergeCell ref="G2060:H2060"/>
    <mergeCell ref="B2061:D2061"/>
    <mergeCell ref="B3123:D3123"/>
    <mergeCell ref="B3124:D3124"/>
    <mergeCell ref="G3118:H3118"/>
    <mergeCell ref="G3667:H3667"/>
    <mergeCell ref="B3668:D3668"/>
    <mergeCell ref="B3658:F3658"/>
    <mergeCell ref="E3624:F3624"/>
    <mergeCell ref="E3629:F3629"/>
    <mergeCell ref="G3629:H3629"/>
    <mergeCell ref="E3630:F3630"/>
    <mergeCell ref="B2051:D2051"/>
    <mergeCell ref="B2055:D2055"/>
    <mergeCell ref="G3805:H3805"/>
    <mergeCell ref="B1995:D1995"/>
    <mergeCell ref="B1996:D1996"/>
    <mergeCell ref="B1997:D1997"/>
    <mergeCell ref="B1998:D1998"/>
    <mergeCell ref="B1999:D1999"/>
    <mergeCell ref="B2011:F2011"/>
    <mergeCell ref="E2012:F2012"/>
    <mergeCell ref="G2012:H2012"/>
    <mergeCell ref="E2013:F2013"/>
    <mergeCell ref="G3109:H3109"/>
    <mergeCell ref="E3110:F3110"/>
    <mergeCell ref="G3110:H3110"/>
    <mergeCell ref="B3111:D3111"/>
    <mergeCell ref="B3112:D3112"/>
    <mergeCell ref="B3089:D3089"/>
    <mergeCell ref="B2017:D2017"/>
    <mergeCell ref="B2018:D2018"/>
    <mergeCell ref="E2046:F2046"/>
    <mergeCell ref="G2046:H2046"/>
    <mergeCell ref="E2047:F2047"/>
    <mergeCell ref="B3778:D3778"/>
    <mergeCell ref="B3779:D3779"/>
    <mergeCell ref="B3780:D3780"/>
    <mergeCell ref="E3764:F3764"/>
    <mergeCell ref="G3764:H3764"/>
    <mergeCell ref="E3765:F3765"/>
    <mergeCell ref="G3765:H3765"/>
    <mergeCell ref="E3766:F3766"/>
    <mergeCell ref="G3766:H3766"/>
    <mergeCell ref="B3767:D3767"/>
    <mergeCell ref="B3768:D3768"/>
    <mergeCell ref="E1993:F1993"/>
    <mergeCell ref="G1993:H1993"/>
    <mergeCell ref="E1994:F1994"/>
    <mergeCell ref="B3661:D3661"/>
    <mergeCell ref="E3790:F3790"/>
    <mergeCell ref="G3790:H3790"/>
    <mergeCell ref="E3791:F3791"/>
    <mergeCell ref="G3791:H3791"/>
    <mergeCell ref="G3800:H3800"/>
    <mergeCell ref="G3801:H3801"/>
    <mergeCell ref="G3802:H3802"/>
    <mergeCell ref="E3803:F3803"/>
    <mergeCell ref="G3803:H3803"/>
    <mergeCell ref="E3804:F3804"/>
    <mergeCell ref="G3804:H3804"/>
    <mergeCell ref="G3122:H3122"/>
    <mergeCell ref="E3605:F3605"/>
    <mergeCell ref="E3606:F3606"/>
    <mergeCell ref="E3625:F3625"/>
    <mergeCell ref="E3626:F3626"/>
    <mergeCell ref="E3627:F3627"/>
    <mergeCell ref="E3645:F3645"/>
    <mergeCell ref="E3122:F3122"/>
    <mergeCell ref="G2110:H2110"/>
    <mergeCell ref="B2111:D2111"/>
    <mergeCell ref="B2112:D2112"/>
    <mergeCell ref="B2113:D2113"/>
    <mergeCell ref="B2114:D2114"/>
    <mergeCell ref="B2115:D2115"/>
    <mergeCell ref="B2117:F2117"/>
    <mergeCell ref="B3114:D3114"/>
    <mergeCell ref="B3115:D3115"/>
    <mergeCell ref="G991:H991"/>
    <mergeCell ref="E3659:F3659"/>
    <mergeCell ref="G3659:H3659"/>
    <mergeCell ref="B3660:D3660"/>
    <mergeCell ref="E3800:F3800"/>
    <mergeCell ref="E980:F980"/>
    <mergeCell ref="B3806:D3806"/>
    <mergeCell ref="B3807:D3807"/>
    <mergeCell ref="B3808:D3808"/>
    <mergeCell ref="B3809:D3809"/>
    <mergeCell ref="B3781:D3781"/>
    <mergeCell ref="B3782:D3782"/>
    <mergeCell ref="B3784:F3784"/>
    <mergeCell ref="E3785:F3785"/>
    <mergeCell ref="G3785:H3785"/>
    <mergeCell ref="E3786:F3786"/>
    <mergeCell ref="G3786:H3786"/>
    <mergeCell ref="G3787:H3787"/>
    <mergeCell ref="G3788:H3788"/>
    <mergeCell ref="E3787:F3787"/>
    <mergeCell ref="E3788:F3788"/>
    <mergeCell ref="E3805:F3805"/>
    <mergeCell ref="B3792:D3792"/>
    <mergeCell ref="B3793:D3793"/>
    <mergeCell ref="B3794:D3794"/>
    <mergeCell ref="B3795:D3795"/>
    <mergeCell ref="B3796:D3796"/>
    <mergeCell ref="B3798:F3798"/>
    <mergeCell ref="E3801:F3801"/>
    <mergeCell ref="E3802:F3802"/>
    <mergeCell ref="E3789:F3789"/>
    <mergeCell ref="G3789:H3789"/>
    <mergeCell ref="G1198:H1198"/>
    <mergeCell ref="E1199:F1199"/>
    <mergeCell ref="E1211:F1211"/>
    <mergeCell ref="G1211:H1211"/>
    <mergeCell ref="B1212:D1212"/>
    <mergeCell ref="B1213:D1213"/>
    <mergeCell ref="B1670:D1670"/>
    <mergeCell ref="B1671:D1671"/>
    <mergeCell ref="B1930:F1930"/>
    <mergeCell ref="B3810:D3810"/>
    <mergeCell ref="B3680:D3680"/>
    <mergeCell ref="B973:D973"/>
    <mergeCell ref="B974:D974"/>
    <mergeCell ref="B975:D975"/>
    <mergeCell ref="B976:D976"/>
    <mergeCell ref="B995:D995"/>
    <mergeCell ref="B3713:F3713"/>
    <mergeCell ref="B3672:D3672"/>
    <mergeCell ref="B3674:F3674"/>
    <mergeCell ref="E3675:F3675"/>
    <mergeCell ref="E3799:F3799"/>
    <mergeCell ref="G3799:H3799"/>
    <mergeCell ref="G980:H980"/>
    <mergeCell ref="E981:F981"/>
    <mergeCell ref="G981:H981"/>
    <mergeCell ref="E992:F992"/>
    <mergeCell ref="G1118:H1118"/>
    <mergeCell ref="E1118:F1118"/>
    <mergeCell ref="G1117:H1117"/>
    <mergeCell ref="E1117:F1117"/>
    <mergeCell ref="G1116:H1116"/>
    <mergeCell ref="G2047:H2047"/>
    <mergeCell ref="B3745:D3745"/>
    <mergeCell ref="B3746:D3746"/>
    <mergeCell ref="B3747:D3747"/>
    <mergeCell ref="B3748:D3748"/>
    <mergeCell ref="B3749:D3749"/>
    <mergeCell ref="B3751:F3751"/>
    <mergeCell ref="B3769:D3769"/>
    <mergeCell ref="E3729:F3729"/>
    <mergeCell ref="B1734:D1734"/>
    <mergeCell ref="B1735:D1735"/>
    <mergeCell ref="E1119:F1119"/>
    <mergeCell ref="B1723:D1723"/>
    <mergeCell ref="B1724:D1724"/>
    <mergeCell ref="B1725:D1725"/>
    <mergeCell ref="B1727:F1727"/>
    <mergeCell ref="E1728:F1728"/>
    <mergeCell ref="G1728:H1728"/>
    <mergeCell ref="E1729:F1729"/>
    <mergeCell ref="G1729:H1729"/>
    <mergeCell ref="E1730:F1730"/>
    <mergeCell ref="G1730:H1730"/>
    <mergeCell ref="B1731:D1731"/>
    <mergeCell ref="B1732:D1732"/>
    <mergeCell ref="B1721:D1721"/>
    <mergeCell ref="B1722:D1722"/>
    <mergeCell ref="B1203:D1203"/>
    <mergeCell ref="B1705:D1705"/>
    <mergeCell ref="E1196:F1196"/>
    <mergeCell ref="G1196:H1196"/>
    <mergeCell ref="E1197:F1197"/>
    <mergeCell ref="G1197:H1197"/>
    <mergeCell ref="E1198:F1198"/>
    <mergeCell ref="B3770:D3770"/>
    <mergeCell ref="B3771:D3771"/>
    <mergeCell ref="B3773:F3773"/>
    <mergeCell ref="E3774:F3774"/>
    <mergeCell ref="G3774:H3774"/>
    <mergeCell ref="E3775:F3775"/>
    <mergeCell ref="G3775:H3775"/>
    <mergeCell ref="E3752:F3752"/>
    <mergeCell ref="G3752:H3752"/>
    <mergeCell ref="E3753:F3753"/>
    <mergeCell ref="G3753:H3753"/>
    <mergeCell ref="E3754:F3754"/>
    <mergeCell ref="G3754:H3754"/>
    <mergeCell ref="E3755:F3755"/>
    <mergeCell ref="G3755:H3755"/>
    <mergeCell ref="E3756:F3756"/>
    <mergeCell ref="G3756:H3756"/>
    <mergeCell ref="B3757:D3757"/>
    <mergeCell ref="B3758:D3758"/>
    <mergeCell ref="B3759:D3759"/>
    <mergeCell ref="B3760:D3760"/>
    <mergeCell ref="B3761:D3761"/>
    <mergeCell ref="B3763:F3763"/>
    <mergeCell ref="G3729:H3729"/>
    <mergeCell ref="E3730:F3730"/>
    <mergeCell ref="G3730:H3730"/>
    <mergeCell ref="E3731:F3731"/>
    <mergeCell ref="G3731:H3731"/>
    <mergeCell ref="E3732:F3732"/>
    <mergeCell ref="G3732:H3732"/>
    <mergeCell ref="B3733:D3733"/>
    <mergeCell ref="B3734:D3734"/>
    <mergeCell ref="B3735:D3735"/>
    <mergeCell ref="B3736:D3736"/>
    <mergeCell ref="B3737:D3737"/>
    <mergeCell ref="B3739:F3739"/>
    <mergeCell ref="E3740:F3740"/>
    <mergeCell ref="G3740:H3740"/>
    <mergeCell ref="E3742:F3742"/>
    <mergeCell ref="G3742:H3742"/>
    <mergeCell ref="E3743:F3743"/>
    <mergeCell ref="G3743:H3743"/>
    <mergeCell ref="E3744:F3744"/>
    <mergeCell ref="G3744:H3744"/>
    <mergeCell ref="E3741:F3741"/>
    <mergeCell ref="G3741:H3741"/>
    <mergeCell ref="B3676:D3676"/>
    <mergeCell ref="G3630:H3630"/>
    <mergeCell ref="B3590:D3590"/>
    <mergeCell ref="B3563:D3563"/>
    <mergeCell ref="B3564:D3564"/>
    <mergeCell ref="B3565:D3565"/>
    <mergeCell ref="B3566:D3566"/>
    <mergeCell ref="B3567:D3567"/>
    <mergeCell ref="B3569:F3569"/>
    <mergeCell ref="B3633:D3633"/>
    <mergeCell ref="B3634:D3634"/>
    <mergeCell ref="B3635:D3635"/>
    <mergeCell ref="B3637:F3637"/>
    <mergeCell ref="G3625:H3625"/>
    <mergeCell ref="G3626:H3626"/>
    <mergeCell ref="G3627:H3627"/>
    <mergeCell ref="E3644:F3644"/>
    <mergeCell ref="G3644:H3644"/>
    <mergeCell ref="B3611:D3611"/>
    <mergeCell ref="E3570:F3570"/>
    <mergeCell ref="G3570:H3570"/>
    <mergeCell ref="E3571:F3571"/>
    <mergeCell ref="G3571:H3571"/>
    <mergeCell ref="E3604:F3604"/>
    <mergeCell ref="G3604:H3604"/>
    <mergeCell ref="B3591:D3591"/>
    <mergeCell ref="E3727:F3727"/>
    <mergeCell ref="G3727:H3727"/>
    <mergeCell ref="B3722:F3722"/>
    <mergeCell ref="B3723:F3723"/>
    <mergeCell ref="E3724:F3724"/>
    <mergeCell ref="G3724:H3724"/>
    <mergeCell ref="E3725:F3725"/>
    <mergeCell ref="G3725:H3725"/>
    <mergeCell ref="B3135:D3135"/>
    <mergeCell ref="B3136:D3136"/>
    <mergeCell ref="B3137:D3137"/>
    <mergeCell ref="E3714:F3714"/>
    <mergeCell ref="G3714:H3714"/>
    <mergeCell ref="B3612:D3612"/>
    <mergeCell ref="G3605:H3605"/>
    <mergeCell ref="B3613:D3613"/>
    <mergeCell ref="B3614:D3614"/>
    <mergeCell ref="B3615:D3615"/>
    <mergeCell ref="E3646:F3646"/>
    <mergeCell ref="B3631:D3631"/>
    <mergeCell ref="B3632:D3632"/>
    <mergeCell ref="B3556:D3556"/>
    <mergeCell ref="B3557:D3557"/>
    <mergeCell ref="B3652:D3652"/>
    <mergeCell ref="B3678:D3678"/>
    <mergeCell ref="B3679:D3679"/>
    <mergeCell ref="E3726:F3726"/>
    <mergeCell ref="G3726:H3726"/>
    <mergeCell ref="E3588:F3588"/>
    <mergeCell ref="G3588:H3588"/>
    <mergeCell ref="E3589:F3589"/>
    <mergeCell ref="G3589:H3589"/>
    <mergeCell ref="B3125:D3125"/>
    <mergeCell ref="B3126:D3126"/>
    <mergeCell ref="B3127:D3127"/>
    <mergeCell ref="B3129:F3129"/>
    <mergeCell ref="E3130:F3130"/>
    <mergeCell ref="G3130:H3130"/>
    <mergeCell ref="E3131:F3131"/>
    <mergeCell ref="G3131:H3131"/>
    <mergeCell ref="E3132:F3132"/>
    <mergeCell ref="G3132:H3132"/>
    <mergeCell ref="B3133:D3133"/>
    <mergeCell ref="B3134:D3134"/>
    <mergeCell ref="G3492:H3492"/>
    <mergeCell ref="B3493:D3493"/>
    <mergeCell ref="B3494:D3494"/>
    <mergeCell ref="B3495:D3495"/>
    <mergeCell ref="B3587:F3587"/>
    <mergeCell ref="B3575:D3575"/>
    <mergeCell ref="B3576:D3576"/>
    <mergeCell ref="B3559:F3559"/>
    <mergeCell ref="B3485:D3485"/>
    <mergeCell ref="B3486:D3486"/>
    <mergeCell ref="B3487:D3487"/>
    <mergeCell ref="B3489:F3489"/>
    <mergeCell ref="E3490:F3490"/>
    <mergeCell ref="G3490:H3490"/>
    <mergeCell ref="E3491:F3491"/>
    <mergeCell ref="G3491:H3491"/>
    <mergeCell ref="E3492:F3492"/>
    <mergeCell ref="B3544:D3544"/>
    <mergeCell ref="B3545:D3545"/>
    <mergeCell ref="B3546:D3546"/>
    <mergeCell ref="B3671:D3671"/>
    <mergeCell ref="B3666:F3666"/>
    <mergeCell ref="E3667:F3667"/>
    <mergeCell ref="B3657:F3657"/>
    <mergeCell ref="B3669:D3669"/>
    <mergeCell ref="B3670:D3670"/>
    <mergeCell ref="B3715:D3715"/>
    <mergeCell ref="B3716:D3716"/>
    <mergeCell ref="B3717:D3717"/>
    <mergeCell ref="B3718:D3718"/>
    <mergeCell ref="B3719:D3719"/>
    <mergeCell ref="G3675:H3675"/>
    <mergeCell ref="E3530:F3530"/>
    <mergeCell ref="G3530:H3530"/>
    <mergeCell ref="E3531:F3531"/>
    <mergeCell ref="G3531:H3531"/>
    <mergeCell ref="G3511:H3511"/>
    <mergeCell ref="B3653:D3653"/>
    <mergeCell ref="B3654:D3654"/>
    <mergeCell ref="B3655:D3655"/>
    <mergeCell ref="B3651:D3651"/>
    <mergeCell ref="G3606:H3606"/>
    <mergeCell ref="B3597:F3597"/>
    <mergeCell ref="G3562:H3562"/>
    <mergeCell ref="B3539:F3539"/>
    <mergeCell ref="E3540:F3540"/>
    <mergeCell ref="G3540:H3540"/>
    <mergeCell ref="E3541:F3541"/>
    <mergeCell ref="G3541:H3541"/>
    <mergeCell ref="E3542:F3542"/>
    <mergeCell ref="G3542:H3542"/>
    <mergeCell ref="B3543:D3543"/>
    <mergeCell ref="B1924:D1924"/>
    <mergeCell ref="B1925:D1925"/>
    <mergeCell ref="B1926:D1926"/>
    <mergeCell ref="B1927:D1927"/>
    <mergeCell ref="B1928:D1928"/>
    <mergeCell ref="E1931:F1931"/>
    <mergeCell ref="G1931:H1931"/>
    <mergeCell ref="E1932:F1932"/>
    <mergeCell ref="G1932:H1932"/>
    <mergeCell ref="E3119:F3119"/>
    <mergeCell ref="B3101:D3101"/>
    <mergeCell ref="G2013:H2013"/>
    <mergeCell ref="E2014:F2014"/>
    <mergeCell ref="G2014:H2014"/>
    <mergeCell ref="G3645:H3645"/>
    <mergeCell ref="G3646:H3646"/>
    <mergeCell ref="E3118:F3118"/>
    <mergeCell ref="B3555:D3555"/>
    <mergeCell ref="B3596:F3596"/>
    <mergeCell ref="G3551:H3551"/>
    <mergeCell ref="E3532:F3532"/>
    <mergeCell ref="B1944:D1944"/>
    <mergeCell ref="B1945:D1945"/>
    <mergeCell ref="G3119:H3119"/>
    <mergeCell ref="B2019:D2019"/>
    <mergeCell ref="B2021:F2021"/>
    <mergeCell ref="E2022:F2022"/>
    <mergeCell ref="G1973:H1973"/>
    <mergeCell ref="E3120:F3120"/>
    <mergeCell ref="G3120:H3120"/>
    <mergeCell ref="E3121:F3121"/>
    <mergeCell ref="G3121:H3121"/>
    <mergeCell ref="B1714:D1714"/>
    <mergeCell ref="B1715:D1715"/>
    <mergeCell ref="B1717:F1717"/>
    <mergeCell ref="E1718:F1718"/>
    <mergeCell ref="G1699:H1699"/>
    <mergeCell ref="E1116:F1116"/>
    <mergeCell ref="B1111:F1111"/>
    <mergeCell ref="E1228:F1228"/>
    <mergeCell ref="G1003:H1003"/>
    <mergeCell ref="B1946:D1946"/>
    <mergeCell ref="B1934:D1934"/>
    <mergeCell ref="B1935:D1935"/>
    <mergeCell ref="B1936:D1936"/>
    <mergeCell ref="B1937:D1937"/>
    <mergeCell ref="B1938:D1938"/>
    <mergeCell ref="B1940:F1940"/>
    <mergeCell ref="E1941:F1941"/>
    <mergeCell ref="G1941:H1941"/>
    <mergeCell ref="E1942:F1942"/>
    <mergeCell ref="G1942:H1942"/>
    <mergeCell ref="E1914:F1914"/>
    <mergeCell ref="G1914:H1914"/>
    <mergeCell ref="E1915:F1915"/>
    <mergeCell ref="G1915:H1915"/>
    <mergeCell ref="B1916:D1916"/>
    <mergeCell ref="B1917:D1917"/>
    <mergeCell ref="B1918:D1918"/>
    <mergeCell ref="B1919:D1919"/>
    <mergeCell ref="B1920:D1920"/>
    <mergeCell ref="B1922:F1922"/>
    <mergeCell ref="E1923:F1923"/>
    <mergeCell ref="G1923:H1923"/>
    <mergeCell ref="G994:H994"/>
    <mergeCell ref="G992:H992"/>
    <mergeCell ref="B999:D999"/>
    <mergeCell ref="B986:D986"/>
    <mergeCell ref="B987:D987"/>
    <mergeCell ref="G1163:H1163"/>
    <mergeCell ref="G1164:H1164"/>
    <mergeCell ref="G1160:H1160"/>
    <mergeCell ref="E1003:F1003"/>
    <mergeCell ref="E1943:F1943"/>
    <mergeCell ref="G1943:H1943"/>
    <mergeCell ref="B1733:D1733"/>
    <mergeCell ref="E1687:F1687"/>
    <mergeCell ref="G1448:H1448"/>
    <mergeCell ref="B1449:D1449"/>
    <mergeCell ref="B1450:D1450"/>
    <mergeCell ref="E1439:F1439"/>
    <mergeCell ref="B1001:F1001"/>
    <mergeCell ref="E1002:F1002"/>
    <mergeCell ref="G1002:H1002"/>
    <mergeCell ref="G1053:H1053"/>
    <mergeCell ref="E1054:F1054"/>
    <mergeCell ref="G1054:H1054"/>
    <mergeCell ref="E1043:F1043"/>
    <mergeCell ref="E1241:F1241"/>
    <mergeCell ref="E1933:F1933"/>
    <mergeCell ref="G1933:H1933"/>
    <mergeCell ref="E1710:F1710"/>
    <mergeCell ref="G1710:H1710"/>
    <mergeCell ref="B1711:D1711"/>
    <mergeCell ref="B1712:D1712"/>
    <mergeCell ref="B1713:D1713"/>
    <mergeCell ref="E934:F934"/>
    <mergeCell ref="G934:H934"/>
    <mergeCell ref="G965:H965"/>
    <mergeCell ref="G966:H966"/>
    <mergeCell ref="G967:H967"/>
    <mergeCell ref="G968:H968"/>
    <mergeCell ref="E947:F947"/>
    <mergeCell ref="G964:H964"/>
    <mergeCell ref="E933:F933"/>
    <mergeCell ref="E982:F982"/>
    <mergeCell ref="B1169:D1169"/>
    <mergeCell ref="B1172:F1172"/>
    <mergeCell ref="E1173:F1173"/>
    <mergeCell ref="G1173:H1173"/>
    <mergeCell ref="E1174:F1174"/>
    <mergeCell ref="E1150:F1150"/>
    <mergeCell ref="B1083:D1083"/>
    <mergeCell ref="B1084:D1084"/>
    <mergeCell ref="B1085:D1085"/>
    <mergeCell ref="B1086:D1086"/>
    <mergeCell ref="G1150:H1150"/>
    <mergeCell ref="E1151:F1151"/>
    <mergeCell ref="G1151:H1151"/>
    <mergeCell ref="E1152:F1152"/>
    <mergeCell ref="G1152:H1152"/>
    <mergeCell ref="E991:F991"/>
    <mergeCell ref="B997:D997"/>
    <mergeCell ref="B996:D996"/>
    <mergeCell ref="B1155:D1155"/>
    <mergeCell ref="E993:F993"/>
    <mergeCell ref="G993:H993"/>
    <mergeCell ref="E994:F994"/>
    <mergeCell ref="B845:D845"/>
    <mergeCell ref="B846:D846"/>
    <mergeCell ref="G872:H872"/>
    <mergeCell ref="B847:D847"/>
    <mergeCell ref="B848:D848"/>
    <mergeCell ref="E852:F852"/>
    <mergeCell ref="G852:H852"/>
    <mergeCell ref="B868:D868"/>
    <mergeCell ref="G843:H843"/>
    <mergeCell ref="B844:D844"/>
    <mergeCell ref="G883:H883"/>
    <mergeCell ref="G884:H884"/>
    <mergeCell ref="G885:H885"/>
    <mergeCell ref="G851:H851"/>
    <mergeCell ref="G862:H862"/>
    <mergeCell ref="E874:F874"/>
    <mergeCell ref="G874:H874"/>
    <mergeCell ref="B875:D875"/>
    <mergeCell ref="B865:D865"/>
    <mergeCell ref="B856:D856"/>
    <mergeCell ref="B869:D869"/>
    <mergeCell ref="G969:H969"/>
    <mergeCell ref="E979:F979"/>
    <mergeCell ref="E883:F883"/>
    <mergeCell ref="E884:F884"/>
    <mergeCell ref="E873:F873"/>
    <mergeCell ref="B853:D853"/>
    <mergeCell ref="B857:D857"/>
    <mergeCell ref="E885:F885"/>
    <mergeCell ref="E887:F887"/>
    <mergeCell ref="E872:F872"/>
    <mergeCell ref="G873:H873"/>
    <mergeCell ref="B876:D876"/>
    <mergeCell ref="B879:D879"/>
    <mergeCell ref="B881:F881"/>
    <mergeCell ref="E882:F882"/>
    <mergeCell ref="G882:H882"/>
    <mergeCell ref="B871:F871"/>
    <mergeCell ref="E971:F971"/>
    <mergeCell ref="G971:H971"/>
    <mergeCell ref="E935:F935"/>
    <mergeCell ref="G935:H935"/>
    <mergeCell ref="E936:F936"/>
    <mergeCell ref="G937:H937"/>
    <mergeCell ref="B938:D938"/>
    <mergeCell ref="B957:D957"/>
    <mergeCell ref="B958:D958"/>
    <mergeCell ref="G962:H962"/>
    <mergeCell ref="B960:F960"/>
    <mergeCell ref="E961:F961"/>
    <mergeCell ref="G961:H961"/>
    <mergeCell ref="E962:F962"/>
    <mergeCell ref="G933:H933"/>
    <mergeCell ref="G963:H963"/>
    <mergeCell ref="G970:H970"/>
    <mergeCell ref="B927:D927"/>
    <mergeCell ref="B928:D928"/>
    <mergeCell ref="G897:H897"/>
    <mergeCell ref="E898:F898"/>
    <mergeCell ref="G1687:H1687"/>
    <mergeCell ref="B1681:D1681"/>
    <mergeCell ref="B1682:D1682"/>
    <mergeCell ref="B1683:D1683"/>
    <mergeCell ref="G1678:H1678"/>
    <mergeCell ref="B1685:F1685"/>
    <mergeCell ref="G1090:H1090"/>
    <mergeCell ref="G932:H932"/>
    <mergeCell ref="E1091:F1091"/>
    <mergeCell ref="G1091:H1091"/>
    <mergeCell ref="B1069:D1069"/>
    <mergeCell ref="B1070:D1070"/>
    <mergeCell ref="B1071:D1071"/>
    <mergeCell ref="B1072:D1072"/>
    <mergeCell ref="E897:F897"/>
    <mergeCell ref="B903:D903"/>
    <mergeCell ref="E1008:F1008"/>
    <mergeCell ref="G952:H952"/>
    <mergeCell ref="E953:F953"/>
    <mergeCell ref="E950:F950"/>
    <mergeCell ref="G950:H950"/>
    <mergeCell ref="E951:F951"/>
    <mergeCell ref="G951:H951"/>
    <mergeCell ref="E909:F909"/>
    <mergeCell ref="G909:H909"/>
    <mergeCell ref="B998:D998"/>
    <mergeCell ref="E1006:F1006"/>
    <mergeCell ref="G1006:H1006"/>
    <mergeCell ref="E1007:F1007"/>
    <mergeCell ref="B890:D890"/>
    <mergeCell ref="B891:D891"/>
    <mergeCell ref="B892:D892"/>
    <mergeCell ref="B894:F894"/>
    <mergeCell ref="B895:F895"/>
    <mergeCell ref="G896:H896"/>
    <mergeCell ref="G898:H898"/>
    <mergeCell ref="B905:F905"/>
    <mergeCell ref="E906:F906"/>
    <mergeCell ref="G906:H906"/>
    <mergeCell ref="E907:F907"/>
    <mergeCell ref="E911:F911"/>
    <mergeCell ref="B925:D925"/>
    <mergeCell ref="B926:D926"/>
    <mergeCell ref="G979:H979"/>
    <mergeCell ref="E965:F965"/>
    <mergeCell ref="G911:H911"/>
    <mergeCell ref="B912:D912"/>
    <mergeCell ref="B913:D913"/>
    <mergeCell ref="B914:D914"/>
    <mergeCell ref="B978:F978"/>
    <mergeCell ref="G953:H953"/>
    <mergeCell ref="B954:D954"/>
    <mergeCell ref="B955:D955"/>
    <mergeCell ref="B956:D956"/>
    <mergeCell ref="B915:D915"/>
    <mergeCell ref="B916:D916"/>
    <mergeCell ref="B972:D972"/>
    <mergeCell ref="E963:F963"/>
    <mergeCell ref="G1008:H1008"/>
    <mergeCell ref="B1046:D1046"/>
    <mergeCell ref="B1047:D1047"/>
    <mergeCell ref="B1030:F1030"/>
    <mergeCell ref="G920:H920"/>
    <mergeCell ref="E1042:F1042"/>
    <mergeCell ref="G1042:H1042"/>
    <mergeCell ref="G907:H907"/>
    <mergeCell ref="E1034:F1034"/>
    <mergeCell ref="G1034:H1034"/>
    <mergeCell ref="B1035:D1035"/>
    <mergeCell ref="B1036:D1036"/>
    <mergeCell ref="G936:H936"/>
    <mergeCell ref="E937:F937"/>
    <mergeCell ref="B1045:D1045"/>
    <mergeCell ref="B939:D939"/>
    <mergeCell ref="G945:H945"/>
    <mergeCell ref="E948:F948"/>
    <mergeCell ref="B1011:D1011"/>
    <mergeCell ref="B1012:D1012"/>
    <mergeCell ref="G948:H948"/>
    <mergeCell ref="E949:F949"/>
    <mergeCell ref="B1025:D1025"/>
    <mergeCell ref="B1026:D1026"/>
    <mergeCell ref="B1027:D1027"/>
    <mergeCell ref="G1043:H1043"/>
    <mergeCell ref="E1044:F1044"/>
    <mergeCell ref="E1031:F1031"/>
    <mergeCell ref="B1038:D1038"/>
    <mergeCell ref="B1039:D1039"/>
    <mergeCell ref="E1033:F1033"/>
    <mergeCell ref="G1033:H1033"/>
    <mergeCell ref="B824:D824"/>
    <mergeCell ref="B825:D825"/>
    <mergeCell ref="B805:F805"/>
    <mergeCell ref="E806:F806"/>
    <mergeCell ref="G806:H806"/>
    <mergeCell ref="E807:F807"/>
    <mergeCell ref="E816:F816"/>
    <mergeCell ref="B821:D821"/>
    <mergeCell ref="E749:F749"/>
    <mergeCell ref="B759:F759"/>
    <mergeCell ref="E760:F760"/>
    <mergeCell ref="G760:H760"/>
    <mergeCell ref="B742:D742"/>
    <mergeCell ref="B743:D743"/>
    <mergeCell ref="B747:F747"/>
    <mergeCell ref="E748:F748"/>
    <mergeCell ref="G748:H748"/>
    <mergeCell ref="B754:D754"/>
    <mergeCell ref="B755:D755"/>
    <mergeCell ref="G749:H749"/>
    <mergeCell ref="B756:D756"/>
    <mergeCell ref="B777:D777"/>
    <mergeCell ref="B778:D778"/>
    <mergeCell ref="B744:D744"/>
    <mergeCell ref="B745:D745"/>
    <mergeCell ref="B787:D787"/>
    <mergeCell ref="B788:D788"/>
    <mergeCell ref="G686:H686"/>
    <mergeCell ref="G1089:H1089"/>
    <mergeCell ref="E1090:F1090"/>
    <mergeCell ref="B1691:D1691"/>
    <mergeCell ref="B1073:D1073"/>
    <mergeCell ref="G922:H922"/>
    <mergeCell ref="E923:F923"/>
    <mergeCell ref="G923:H923"/>
    <mergeCell ref="G1994:H1994"/>
    <mergeCell ref="E924:F924"/>
    <mergeCell ref="E1092:F1092"/>
    <mergeCell ref="B1692:D1692"/>
    <mergeCell ref="B1693:D1693"/>
    <mergeCell ref="B1694:D1694"/>
    <mergeCell ref="B1696:F1696"/>
    <mergeCell ref="E1697:F1697"/>
    <mergeCell ref="E1688:F1688"/>
    <mergeCell ref="G1688:H1688"/>
    <mergeCell ref="E1689:F1689"/>
    <mergeCell ref="G1689:H1689"/>
    <mergeCell ref="B1690:D1690"/>
    <mergeCell ref="G1697:H1697"/>
    <mergeCell ref="E1698:F1698"/>
    <mergeCell ref="G1698:H1698"/>
    <mergeCell ref="G1668:H1668"/>
    <mergeCell ref="B1669:D1669"/>
    <mergeCell ref="E970:F970"/>
    <mergeCell ref="G949:H949"/>
    <mergeCell ref="E952:F952"/>
    <mergeCell ref="E932:F932"/>
    <mergeCell ref="G924:H924"/>
    <mergeCell ref="G808:H808"/>
    <mergeCell ref="G1064:H1064"/>
    <mergeCell ref="E1055:F1055"/>
    <mergeCell ref="G1055:H1055"/>
    <mergeCell ref="B1056:D1056"/>
    <mergeCell ref="E1066:F1066"/>
    <mergeCell ref="G1066:H1066"/>
    <mergeCell ref="E1067:F1067"/>
    <mergeCell ref="B1082:D1082"/>
    <mergeCell ref="B1097:D1097"/>
    <mergeCell ref="E1162:F1162"/>
    <mergeCell ref="G1162:H1162"/>
    <mergeCell ref="B1177:D1177"/>
    <mergeCell ref="G1199:H1199"/>
    <mergeCell ref="B1157:D1157"/>
    <mergeCell ref="B1159:F1159"/>
    <mergeCell ref="B1170:D1170"/>
    <mergeCell ref="E1686:F1686"/>
    <mergeCell ref="E1676:F1676"/>
    <mergeCell ref="B1232:D1232"/>
    <mergeCell ref="B1233:D1233"/>
    <mergeCell ref="B1249:D1249"/>
    <mergeCell ref="E1240:F1240"/>
    <mergeCell ref="G1676:H1676"/>
    <mergeCell ref="E1677:F1677"/>
    <mergeCell ref="G1677:H1677"/>
    <mergeCell ref="E1678:F1678"/>
    <mergeCell ref="G1456:H1456"/>
    <mergeCell ref="E1457:F1457"/>
    <mergeCell ref="G1457:H1457"/>
    <mergeCell ref="B1451:D1451"/>
    <mergeCell ref="B1452:D1452"/>
    <mergeCell ref="B1453:D1453"/>
    <mergeCell ref="G1065:H1065"/>
    <mergeCell ref="B1168:D1168"/>
    <mergeCell ref="G1078:H1078"/>
    <mergeCell ref="G1195:H1195"/>
    <mergeCell ref="B1153:D1153"/>
    <mergeCell ref="G1666:H1666"/>
    <mergeCell ref="E1667:F1667"/>
    <mergeCell ref="G1667:H1667"/>
    <mergeCell ref="B1633:D1633"/>
    <mergeCell ref="B1634:D1634"/>
    <mergeCell ref="E1619:F1619"/>
    <mergeCell ref="G1619:H1619"/>
    <mergeCell ref="B1620:D1620"/>
    <mergeCell ref="B1621:D1621"/>
    <mergeCell ref="B1622:D1622"/>
    <mergeCell ref="G1092:H1092"/>
    <mergeCell ref="B1093:D1093"/>
    <mergeCell ref="B1094:D1094"/>
    <mergeCell ref="G1439:H1439"/>
    <mergeCell ref="B1440:D1440"/>
    <mergeCell ref="B1441:D1441"/>
    <mergeCell ref="B1404:D1404"/>
    <mergeCell ref="B1623:D1623"/>
    <mergeCell ref="B1624:D1624"/>
    <mergeCell ref="B1626:F1626"/>
    <mergeCell ref="E1161:F1161"/>
    <mergeCell ref="G1161:H1161"/>
    <mergeCell ref="B1455:F1455"/>
    <mergeCell ref="B1462:D1462"/>
    <mergeCell ref="E1429:F1429"/>
    <mergeCell ref="G1429:H1429"/>
    <mergeCell ref="B1428:F1428"/>
    <mergeCell ref="E829:F829"/>
    <mergeCell ref="G829:H829"/>
    <mergeCell ref="B830:D830"/>
    <mergeCell ref="B831:D831"/>
    <mergeCell ref="B832:D832"/>
    <mergeCell ref="B833:D833"/>
    <mergeCell ref="B813:D813"/>
    <mergeCell ref="E684:F684"/>
    <mergeCell ref="G684:H684"/>
    <mergeCell ref="B822:D822"/>
    <mergeCell ref="E660:F660"/>
    <mergeCell ref="G660:H660"/>
    <mergeCell ref="E661:F661"/>
    <mergeCell ref="B298:D298"/>
    <mergeCell ref="B800:D800"/>
    <mergeCell ref="E685:F685"/>
    <mergeCell ref="G685:H685"/>
    <mergeCell ref="B815:F815"/>
    <mergeCell ref="B812:D812"/>
    <mergeCell ref="B723:D723"/>
    <mergeCell ref="B724:D724"/>
    <mergeCell ref="E818:F818"/>
    <mergeCell ref="G818:H818"/>
    <mergeCell ref="E819:F819"/>
    <mergeCell ref="E793:F793"/>
    <mergeCell ref="G793:H793"/>
    <mergeCell ref="E794:F794"/>
    <mergeCell ref="G794:H794"/>
    <mergeCell ref="E795:F795"/>
    <mergeCell ref="E697:F697"/>
    <mergeCell ref="G697:H697"/>
    <mergeCell ref="E698:F698"/>
    <mergeCell ref="E839:F839"/>
    <mergeCell ref="E686:F686"/>
    <mergeCell ref="B1672:D1672"/>
    <mergeCell ref="G1210:H1210"/>
    <mergeCell ref="B1223:D1223"/>
    <mergeCell ref="B1224:D1224"/>
    <mergeCell ref="B3537:D3537"/>
    <mergeCell ref="E3512:F3512"/>
    <mergeCell ref="G3512:H3512"/>
    <mergeCell ref="B3513:D3513"/>
    <mergeCell ref="B1246:D1246"/>
    <mergeCell ref="G1228:H1228"/>
    <mergeCell ref="E1229:F1229"/>
    <mergeCell ref="E3501:F3501"/>
    <mergeCell ref="G3501:H3501"/>
    <mergeCell ref="E3502:F3502"/>
    <mergeCell ref="G3502:H3502"/>
    <mergeCell ref="B3503:D3503"/>
    <mergeCell ref="B3504:D3504"/>
    <mergeCell ref="B3505:D3505"/>
    <mergeCell ref="B3506:D3506"/>
    <mergeCell ref="B3507:D3507"/>
    <mergeCell ref="B3509:F3509"/>
    <mergeCell ref="E3510:F3510"/>
    <mergeCell ref="G3510:H3510"/>
    <mergeCell ref="E3511:F3511"/>
    <mergeCell ref="B1673:D1673"/>
    <mergeCell ref="B1675:F1675"/>
    <mergeCell ref="E1699:F1699"/>
    <mergeCell ref="E1456:F1456"/>
    <mergeCell ref="G1700:H1700"/>
    <mergeCell ref="B1701:D1701"/>
    <mergeCell ref="B1702:D1702"/>
    <mergeCell ref="B1703:D1703"/>
    <mergeCell ref="B1704:D1704"/>
    <mergeCell ref="B3592:D3592"/>
    <mergeCell ref="B3593:D3593"/>
    <mergeCell ref="B3594:D3594"/>
    <mergeCell ref="B780:F780"/>
    <mergeCell ref="B781:F781"/>
    <mergeCell ref="E782:F782"/>
    <mergeCell ref="G782:H782"/>
    <mergeCell ref="E783:F783"/>
    <mergeCell ref="G783:H783"/>
    <mergeCell ref="E784:F784"/>
    <mergeCell ref="G784:H784"/>
    <mergeCell ref="E785:F785"/>
    <mergeCell ref="G785:H785"/>
    <mergeCell ref="B786:D786"/>
    <mergeCell ref="B3578:F3578"/>
    <mergeCell ref="E3579:F3579"/>
    <mergeCell ref="G3579:H3579"/>
    <mergeCell ref="E3580:F3580"/>
    <mergeCell ref="G3580:H3580"/>
    <mergeCell ref="B3581:D3581"/>
    <mergeCell ref="B3582:D3582"/>
    <mergeCell ref="B1234:D1234"/>
    <mergeCell ref="B1235:D1235"/>
    <mergeCell ref="E1184:F1184"/>
    <mergeCell ref="G1184:H1184"/>
    <mergeCell ref="B3583:D3583"/>
    <mergeCell ref="B3584:D3584"/>
    <mergeCell ref="B3585:D3585"/>
    <mergeCell ref="B810:D810"/>
    <mergeCell ref="B3572:D3572"/>
    <mergeCell ref="B3573:D3573"/>
    <mergeCell ref="B3574:D3574"/>
    <mergeCell ref="B3554:D3554"/>
    <mergeCell ref="E3551:F3551"/>
    <mergeCell ref="B3514:D3514"/>
    <mergeCell ref="B3515:D3515"/>
    <mergeCell ref="B3516:D3516"/>
    <mergeCell ref="B3517:D3517"/>
    <mergeCell ref="B3519:F3519"/>
    <mergeCell ref="E3520:F3520"/>
    <mergeCell ref="G3520:H3520"/>
    <mergeCell ref="E3521:F3521"/>
    <mergeCell ref="G3521:H3521"/>
    <mergeCell ref="E3522:F3522"/>
    <mergeCell ref="G3522:H3522"/>
    <mergeCell ref="B3523:D3523"/>
    <mergeCell ref="B3524:D3524"/>
    <mergeCell ref="B3525:D3525"/>
    <mergeCell ref="B3526:D3526"/>
    <mergeCell ref="B3527:D3527"/>
    <mergeCell ref="B3529:F3529"/>
    <mergeCell ref="B3533:D3533"/>
    <mergeCell ref="B3534:D3534"/>
    <mergeCell ref="B3535:D3535"/>
    <mergeCell ref="B3536:D3536"/>
    <mergeCell ref="G3532:H3532"/>
    <mergeCell ref="E3560:F3560"/>
    <mergeCell ref="G3560:H3560"/>
    <mergeCell ref="E3561:F3561"/>
    <mergeCell ref="G3561:H3561"/>
    <mergeCell ref="E3562:F3562"/>
    <mergeCell ref="B3496:D3496"/>
    <mergeCell ref="B3497:D3497"/>
    <mergeCell ref="B3499:F3499"/>
    <mergeCell ref="E3500:F3500"/>
    <mergeCell ref="G3500:H3500"/>
    <mergeCell ref="E3475:F3475"/>
    <mergeCell ref="G3475:H3475"/>
    <mergeCell ref="E3476:F3476"/>
    <mergeCell ref="G3476:H3476"/>
    <mergeCell ref="E3477:F3477"/>
    <mergeCell ref="G3477:H3477"/>
    <mergeCell ref="E3478:F3478"/>
    <mergeCell ref="G3478:H3478"/>
    <mergeCell ref="G3479:H3479"/>
    <mergeCell ref="E3480:F3480"/>
    <mergeCell ref="G3480:H3480"/>
    <mergeCell ref="E3481:F3481"/>
    <mergeCell ref="G3481:H3481"/>
    <mergeCell ref="E3482:F3482"/>
    <mergeCell ref="G3482:H3482"/>
    <mergeCell ref="B3483:D3483"/>
    <mergeCell ref="B3484:D3484"/>
    <mergeCell ref="E3479:F3479"/>
    <mergeCell ref="B3547:D3547"/>
    <mergeCell ref="B3549:F3549"/>
    <mergeCell ref="E3550:F3550"/>
    <mergeCell ref="G3550:H3550"/>
    <mergeCell ref="E3552:F3552"/>
    <mergeCell ref="G3552:H3552"/>
    <mergeCell ref="B3553:D3553"/>
    <mergeCell ref="B3454:F3454"/>
    <mergeCell ref="E3455:F3455"/>
    <mergeCell ref="G3455:H3455"/>
    <mergeCell ref="E3456:F3456"/>
    <mergeCell ref="G3456:H3456"/>
    <mergeCell ref="E3457:F3457"/>
    <mergeCell ref="G3457:H3457"/>
    <mergeCell ref="B3458:D3458"/>
    <mergeCell ref="B3459:D3459"/>
    <mergeCell ref="B3460:D3460"/>
    <mergeCell ref="B3461:D3461"/>
    <mergeCell ref="B3462:D3462"/>
    <mergeCell ref="B3473:F3473"/>
    <mergeCell ref="E3474:F3474"/>
    <mergeCell ref="G3474:H3474"/>
    <mergeCell ref="B3464:F3464"/>
    <mergeCell ref="E3465:F3465"/>
    <mergeCell ref="G3465:H3465"/>
    <mergeCell ref="E3466:F3466"/>
    <mergeCell ref="G3466:H3466"/>
    <mergeCell ref="B3467:D3467"/>
    <mergeCell ref="B3468:D3468"/>
    <mergeCell ref="B3469:D3469"/>
    <mergeCell ref="B3470:D3470"/>
    <mergeCell ref="B3471:D3471"/>
    <mergeCell ref="B3440:D3440"/>
    <mergeCell ref="B3441:D3441"/>
    <mergeCell ref="B3442:D3442"/>
    <mergeCell ref="B3444:F3444"/>
    <mergeCell ref="E3445:F3445"/>
    <mergeCell ref="G3445:H3445"/>
    <mergeCell ref="E3446:F3446"/>
    <mergeCell ref="G3446:H3446"/>
    <mergeCell ref="E3447:F3447"/>
    <mergeCell ref="G3447:H3447"/>
    <mergeCell ref="B3448:D3448"/>
    <mergeCell ref="B3449:D3449"/>
    <mergeCell ref="B3450:D3450"/>
    <mergeCell ref="B3451:D3451"/>
    <mergeCell ref="B3452:D3452"/>
    <mergeCell ref="E3427:F3427"/>
    <mergeCell ref="G3427:H3427"/>
    <mergeCell ref="B3428:D3428"/>
    <mergeCell ref="B3429:D3429"/>
    <mergeCell ref="B3430:D3430"/>
    <mergeCell ref="B3431:D3431"/>
    <mergeCell ref="B3432:D3432"/>
    <mergeCell ref="B3434:F3434"/>
    <mergeCell ref="E3435:F3435"/>
    <mergeCell ref="G3435:H3435"/>
    <mergeCell ref="E3436:F3436"/>
    <mergeCell ref="G3436:H3436"/>
    <mergeCell ref="E3437:F3437"/>
    <mergeCell ref="G3437:H3437"/>
    <mergeCell ref="B3438:D3438"/>
    <mergeCell ref="B3439:D3439"/>
    <mergeCell ref="B3423:F3423"/>
    <mergeCell ref="B3424:F3424"/>
    <mergeCell ref="E3425:F3425"/>
    <mergeCell ref="G3425:H3425"/>
    <mergeCell ref="E3426:F3426"/>
    <mergeCell ref="G3426:H3426"/>
    <mergeCell ref="B726:F726"/>
    <mergeCell ref="E727:F727"/>
    <mergeCell ref="G727:H727"/>
    <mergeCell ref="E728:F728"/>
    <mergeCell ref="G728:H728"/>
    <mergeCell ref="B729:D729"/>
    <mergeCell ref="B730:D730"/>
    <mergeCell ref="B731:D731"/>
    <mergeCell ref="B732:D732"/>
    <mergeCell ref="B733:D733"/>
    <mergeCell ref="B3102:D3102"/>
    <mergeCell ref="B3103:D3103"/>
    <mergeCell ref="B3105:F3105"/>
    <mergeCell ref="E3106:F3106"/>
    <mergeCell ref="G3106:H3106"/>
    <mergeCell ref="B811:D811"/>
    <mergeCell ref="B789:D789"/>
    <mergeCell ref="B790:D790"/>
    <mergeCell ref="B792:F792"/>
    <mergeCell ref="E3107:F3107"/>
    <mergeCell ref="G3107:H3107"/>
    <mergeCell ref="E3108:F3108"/>
    <mergeCell ref="G3108:H3108"/>
    <mergeCell ref="E3109:F3109"/>
    <mergeCell ref="B850:F850"/>
    <mergeCell ref="E851:F851"/>
    <mergeCell ref="G3094:H3094"/>
    <mergeCell ref="E3095:F3095"/>
    <mergeCell ref="G3095:H3095"/>
    <mergeCell ref="E3096:F3096"/>
    <mergeCell ref="G3096:H3096"/>
    <mergeCell ref="E3097:F3097"/>
    <mergeCell ref="G3097:H3097"/>
    <mergeCell ref="E3098:F3098"/>
    <mergeCell ref="G3098:H3098"/>
    <mergeCell ref="B3099:D3099"/>
    <mergeCell ref="B3100:D3100"/>
    <mergeCell ref="B3077:D3077"/>
    <mergeCell ref="B3078:D3078"/>
    <mergeCell ref="B3080:F3080"/>
    <mergeCell ref="E3081:F3081"/>
    <mergeCell ref="G3081:H3081"/>
    <mergeCell ref="E3082:F3082"/>
    <mergeCell ref="G3082:H3082"/>
    <mergeCell ref="E3083:F3083"/>
    <mergeCell ref="G3083:H3083"/>
    <mergeCell ref="E3084:F3084"/>
    <mergeCell ref="G3084:H3084"/>
    <mergeCell ref="E3085:F3085"/>
    <mergeCell ref="G3085:H3085"/>
    <mergeCell ref="E3086:F3086"/>
    <mergeCell ref="G3086:H3086"/>
    <mergeCell ref="B3087:D3087"/>
    <mergeCell ref="B3088:D3088"/>
    <mergeCell ref="B3090:D3090"/>
    <mergeCell ref="B3091:D3091"/>
    <mergeCell ref="B3076:D3076"/>
    <mergeCell ref="B3053:D3053"/>
    <mergeCell ref="B3054:D3054"/>
    <mergeCell ref="B3056:F3056"/>
    <mergeCell ref="E3057:F3057"/>
    <mergeCell ref="G3057:H3057"/>
    <mergeCell ref="E3058:F3058"/>
    <mergeCell ref="G3058:H3058"/>
    <mergeCell ref="E3059:F3059"/>
    <mergeCell ref="G3059:H3059"/>
    <mergeCell ref="E3060:F3060"/>
    <mergeCell ref="G3060:H3060"/>
    <mergeCell ref="E3061:F3061"/>
    <mergeCell ref="G3061:H3061"/>
    <mergeCell ref="B3062:D3062"/>
    <mergeCell ref="B3063:D3063"/>
    <mergeCell ref="B3064:D3064"/>
    <mergeCell ref="B3068:F3068"/>
    <mergeCell ref="E3069:F3069"/>
    <mergeCell ref="G3069:H3069"/>
    <mergeCell ref="E3070:F3070"/>
    <mergeCell ref="G3070:H3070"/>
    <mergeCell ref="E3071:F3071"/>
    <mergeCell ref="G3071:H3071"/>
    <mergeCell ref="E3072:F3072"/>
    <mergeCell ref="G3072:H3072"/>
    <mergeCell ref="E3073:F3073"/>
    <mergeCell ref="G3073:H3073"/>
    <mergeCell ref="B3074:D3074"/>
    <mergeCell ref="B3075:D3075"/>
    <mergeCell ref="B3065:D3065"/>
    <mergeCell ref="B3066:D3066"/>
    <mergeCell ref="B3042:D3042"/>
    <mergeCell ref="B3043:D3043"/>
    <mergeCell ref="B3044:D3044"/>
    <mergeCell ref="B3046:F3046"/>
    <mergeCell ref="E3047:F3047"/>
    <mergeCell ref="G3047:H3047"/>
    <mergeCell ref="E3048:F3048"/>
    <mergeCell ref="G3048:H3048"/>
    <mergeCell ref="E3049:F3049"/>
    <mergeCell ref="G3049:H3049"/>
    <mergeCell ref="B3050:D3050"/>
    <mergeCell ref="B3051:D3051"/>
    <mergeCell ref="B3052:D3052"/>
    <mergeCell ref="E3028:F3028"/>
    <mergeCell ref="G3028:H3028"/>
    <mergeCell ref="E3029:F3029"/>
    <mergeCell ref="G3029:H3029"/>
    <mergeCell ref="B3030:D3030"/>
    <mergeCell ref="B3031:D3031"/>
    <mergeCell ref="B3032:D3032"/>
    <mergeCell ref="B3033:D3033"/>
    <mergeCell ref="B3034:D3034"/>
    <mergeCell ref="B3036:F3036"/>
    <mergeCell ref="E3037:F3037"/>
    <mergeCell ref="G3037:H3037"/>
    <mergeCell ref="E3038:F3038"/>
    <mergeCell ref="G3038:H3038"/>
    <mergeCell ref="E3039:F3039"/>
    <mergeCell ref="G3039:H3039"/>
    <mergeCell ref="E3016:F3016"/>
    <mergeCell ref="G3016:H3016"/>
    <mergeCell ref="E3017:F3017"/>
    <mergeCell ref="G3017:H3017"/>
    <mergeCell ref="E3018:F3018"/>
    <mergeCell ref="G3018:H3018"/>
    <mergeCell ref="E3019:F3019"/>
    <mergeCell ref="G3019:H3019"/>
    <mergeCell ref="B3020:D3020"/>
    <mergeCell ref="B3021:D3021"/>
    <mergeCell ref="B3022:D3022"/>
    <mergeCell ref="B3023:D3023"/>
    <mergeCell ref="B3024:D3024"/>
    <mergeCell ref="B3026:F3026"/>
    <mergeCell ref="E3027:F3027"/>
    <mergeCell ref="G3027:H3027"/>
    <mergeCell ref="E3004:F3004"/>
    <mergeCell ref="G3004:H3004"/>
    <mergeCell ref="E3005:F3005"/>
    <mergeCell ref="G3005:H3005"/>
    <mergeCell ref="E3006:F3006"/>
    <mergeCell ref="G3006:H3006"/>
    <mergeCell ref="E3007:F3007"/>
    <mergeCell ref="G3007:H3007"/>
    <mergeCell ref="B3008:D3008"/>
    <mergeCell ref="B3009:D3009"/>
    <mergeCell ref="B3010:D3010"/>
    <mergeCell ref="B3011:D3011"/>
    <mergeCell ref="B3012:D3012"/>
    <mergeCell ref="B3014:F3014"/>
    <mergeCell ref="E3015:F3015"/>
    <mergeCell ref="G3015:H3015"/>
    <mergeCell ref="E2992:F2992"/>
    <mergeCell ref="G2992:H2992"/>
    <mergeCell ref="E2993:F2993"/>
    <mergeCell ref="G2993:H2993"/>
    <mergeCell ref="E2994:F2994"/>
    <mergeCell ref="G2994:H2994"/>
    <mergeCell ref="E2995:F2995"/>
    <mergeCell ref="G2995:H2995"/>
    <mergeCell ref="B2996:D2996"/>
    <mergeCell ref="B2997:D2997"/>
    <mergeCell ref="B2998:D2998"/>
    <mergeCell ref="B2999:D2999"/>
    <mergeCell ref="B3000:D3000"/>
    <mergeCell ref="B3002:F3002"/>
    <mergeCell ref="E3003:F3003"/>
    <mergeCell ref="G3003:H3003"/>
    <mergeCell ref="E2980:F2980"/>
    <mergeCell ref="G2980:H2980"/>
    <mergeCell ref="E2981:F2981"/>
    <mergeCell ref="G2981:H2981"/>
    <mergeCell ref="E2982:F2982"/>
    <mergeCell ref="G2982:H2982"/>
    <mergeCell ref="E2983:F2983"/>
    <mergeCell ref="G2983:H2983"/>
    <mergeCell ref="B2984:D2984"/>
    <mergeCell ref="B2985:D2985"/>
    <mergeCell ref="B2986:D2986"/>
    <mergeCell ref="B2987:D2987"/>
    <mergeCell ref="B2988:D2988"/>
    <mergeCell ref="B2990:F2990"/>
    <mergeCell ref="E2991:F2991"/>
    <mergeCell ref="G2991:H2991"/>
    <mergeCell ref="E2968:F2968"/>
    <mergeCell ref="G2968:H2968"/>
    <mergeCell ref="E2969:F2969"/>
    <mergeCell ref="G2969:H2969"/>
    <mergeCell ref="E2970:F2970"/>
    <mergeCell ref="G2970:H2970"/>
    <mergeCell ref="E2971:F2971"/>
    <mergeCell ref="G2971:H2971"/>
    <mergeCell ref="B2972:D2972"/>
    <mergeCell ref="B2973:D2973"/>
    <mergeCell ref="B2974:D2974"/>
    <mergeCell ref="B2975:D2975"/>
    <mergeCell ref="B2976:D2976"/>
    <mergeCell ref="B2978:F2978"/>
    <mergeCell ref="E2979:F2979"/>
    <mergeCell ref="G2979:H2979"/>
    <mergeCell ref="E2956:F2956"/>
    <mergeCell ref="G2956:H2956"/>
    <mergeCell ref="E2957:F2957"/>
    <mergeCell ref="G2957:H2957"/>
    <mergeCell ref="E2958:F2958"/>
    <mergeCell ref="G2958:H2958"/>
    <mergeCell ref="E2959:F2959"/>
    <mergeCell ref="G2959:H2959"/>
    <mergeCell ref="B2960:D2960"/>
    <mergeCell ref="B2961:D2961"/>
    <mergeCell ref="B2962:D2962"/>
    <mergeCell ref="B2963:D2963"/>
    <mergeCell ref="B2964:D2964"/>
    <mergeCell ref="B2966:F2966"/>
    <mergeCell ref="E2967:F2967"/>
    <mergeCell ref="G2967:H2967"/>
    <mergeCell ref="E2944:F2944"/>
    <mergeCell ref="G2944:H2944"/>
    <mergeCell ref="E2945:F2945"/>
    <mergeCell ref="G2945:H2945"/>
    <mergeCell ref="E2946:F2946"/>
    <mergeCell ref="G2946:H2946"/>
    <mergeCell ref="E2947:F2947"/>
    <mergeCell ref="G2947:H2947"/>
    <mergeCell ref="B2948:D2948"/>
    <mergeCell ref="B2949:D2949"/>
    <mergeCell ref="B2950:D2950"/>
    <mergeCell ref="B2951:D2951"/>
    <mergeCell ref="B2952:D2952"/>
    <mergeCell ref="B2954:F2954"/>
    <mergeCell ref="E2955:F2955"/>
    <mergeCell ref="G2955:H2955"/>
    <mergeCell ref="E2932:F2932"/>
    <mergeCell ref="G2932:H2932"/>
    <mergeCell ref="E2933:F2933"/>
    <mergeCell ref="G2933:H2933"/>
    <mergeCell ref="E2934:F2934"/>
    <mergeCell ref="G2934:H2934"/>
    <mergeCell ref="E2935:F2935"/>
    <mergeCell ref="G2935:H2935"/>
    <mergeCell ref="B2936:D2936"/>
    <mergeCell ref="B2937:D2937"/>
    <mergeCell ref="B2938:D2938"/>
    <mergeCell ref="B2939:D2939"/>
    <mergeCell ref="B2940:D2940"/>
    <mergeCell ref="B2942:F2942"/>
    <mergeCell ref="E2943:F2943"/>
    <mergeCell ref="G2943:H2943"/>
    <mergeCell ref="E2920:F2920"/>
    <mergeCell ref="G2920:H2920"/>
    <mergeCell ref="E2921:F2921"/>
    <mergeCell ref="G2921:H2921"/>
    <mergeCell ref="E2922:F2922"/>
    <mergeCell ref="G2922:H2922"/>
    <mergeCell ref="E2923:F2923"/>
    <mergeCell ref="G2923:H2923"/>
    <mergeCell ref="B2924:D2924"/>
    <mergeCell ref="B2925:D2925"/>
    <mergeCell ref="B2926:D2926"/>
    <mergeCell ref="B2927:D2927"/>
    <mergeCell ref="B2928:D2928"/>
    <mergeCell ref="B2930:F2930"/>
    <mergeCell ref="E2931:F2931"/>
    <mergeCell ref="G2931:H2931"/>
    <mergeCell ref="E2908:F2908"/>
    <mergeCell ref="G2908:H2908"/>
    <mergeCell ref="E2909:F2909"/>
    <mergeCell ref="G2909:H2909"/>
    <mergeCell ref="E2910:F2910"/>
    <mergeCell ref="G2910:H2910"/>
    <mergeCell ref="B2911:D2911"/>
    <mergeCell ref="B2912:D2912"/>
    <mergeCell ref="B2913:D2913"/>
    <mergeCell ref="B2914:D2914"/>
    <mergeCell ref="B2915:D2915"/>
    <mergeCell ref="B2917:F2917"/>
    <mergeCell ref="E2918:F2918"/>
    <mergeCell ref="G2918:H2918"/>
    <mergeCell ref="E2919:F2919"/>
    <mergeCell ref="G2919:H2919"/>
    <mergeCell ref="E2896:F2896"/>
    <mergeCell ref="G2896:H2896"/>
    <mergeCell ref="E2897:F2897"/>
    <mergeCell ref="G2897:H2897"/>
    <mergeCell ref="E2898:F2898"/>
    <mergeCell ref="G2898:H2898"/>
    <mergeCell ref="B2899:D2899"/>
    <mergeCell ref="B2900:D2900"/>
    <mergeCell ref="B2901:D2901"/>
    <mergeCell ref="B2902:D2902"/>
    <mergeCell ref="B2903:D2903"/>
    <mergeCell ref="B2905:F2905"/>
    <mergeCell ref="E2906:F2906"/>
    <mergeCell ref="G2906:H2906"/>
    <mergeCell ref="E2907:F2907"/>
    <mergeCell ref="G2907:H2907"/>
    <mergeCell ref="E2884:F2884"/>
    <mergeCell ref="G2884:H2884"/>
    <mergeCell ref="E2885:F2885"/>
    <mergeCell ref="G2885:H2885"/>
    <mergeCell ref="E2886:F2886"/>
    <mergeCell ref="G2886:H2886"/>
    <mergeCell ref="B2887:D2887"/>
    <mergeCell ref="B2888:D2888"/>
    <mergeCell ref="B2889:D2889"/>
    <mergeCell ref="B2890:D2890"/>
    <mergeCell ref="B2891:D2891"/>
    <mergeCell ref="B2893:F2893"/>
    <mergeCell ref="E2894:F2894"/>
    <mergeCell ref="G2894:H2894"/>
    <mergeCell ref="E2895:F2895"/>
    <mergeCell ref="G2895:H2895"/>
    <mergeCell ref="E2872:F2872"/>
    <mergeCell ref="G2872:H2872"/>
    <mergeCell ref="E2873:F2873"/>
    <mergeCell ref="G2873:H2873"/>
    <mergeCell ref="E2874:F2874"/>
    <mergeCell ref="G2874:H2874"/>
    <mergeCell ref="B2875:D2875"/>
    <mergeCell ref="B2876:D2876"/>
    <mergeCell ref="B2877:D2877"/>
    <mergeCell ref="B2878:D2878"/>
    <mergeCell ref="B2879:D2879"/>
    <mergeCell ref="B2881:F2881"/>
    <mergeCell ref="E2882:F2882"/>
    <mergeCell ref="G2882:H2882"/>
    <mergeCell ref="E2883:F2883"/>
    <mergeCell ref="G2883:H2883"/>
    <mergeCell ref="E2860:F2860"/>
    <mergeCell ref="G2860:H2860"/>
    <mergeCell ref="E2861:F2861"/>
    <mergeCell ref="G2861:H2861"/>
    <mergeCell ref="E2862:F2862"/>
    <mergeCell ref="G2862:H2862"/>
    <mergeCell ref="B2863:D2863"/>
    <mergeCell ref="B2864:D2864"/>
    <mergeCell ref="B2865:D2865"/>
    <mergeCell ref="B2866:D2866"/>
    <mergeCell ref="B2867:D2867"/>
    <mergeCell ref="B2869:F2869"/>
    <mergeCell ref="E2870:F2870"/>
    <mergeCell ref="G2870:H2870"/>
    <mergeCell ref="E2871:F2871"/>
    <mergeCell ref="G2871:H2871"/>
    <mergeCell ref="E2848:F2848"/>
    <mergeCell ref="G2848:H2848"/>
    <mergeCell ref="E2849:F2849"/>
    <mergeCell ref="G2849:H2849"/>
    <mergeCell ref="E2850:F2850"/>
    <mergeCell ref="G2850:H2850"/>
    <mergeCell ref="B2851:D2851"/>
    <mergeCell ref="B2852:D2852"/>
    <mergeCell ref="B2853:D2853"/>
    <mergeCell ref="B2854:D2854"/>
    <mergeCell ref="B2855:D2855"/>
    <mergeCell ref="B2857:F2857"/>
    <mergeCell ref="E2858:F2858"/>
    <mergeCell ref="G2858:H2858"/>
    <mergeCell ref="E2859:F2859"/>
    <mergeCell ref="G2859:H2859"/>
    <mergeCell ref="E2836:F2836"/>
    <mergeCell ref="G2836:H2836"/>
    <mergeCell ref="E2837:F2837"/>
    <mergeCell ref="G2837:H2837"/>
    <mergeCell ref="E2838:F2838"/>
    <mergeCell ref="G2838:H2838"/>
    <mergeCell ref="B2839:D2839"/>
    <mergeCell ref="B2840:D2840"/>
    <mergeCell ref="B2841:D2841"/>
    <mergeCell ref="B2842:D2842"/>
    <mergeCell ref="B2843:D2843"/>
    <mergeCell ref="B2845:F2845"/>
    <mergeCell ref="E2846:F2846"/>
    <mergeCell ref="G2846:H2846"/>
    <mergeCell ref="E2847:F2847"/>
    <mergeCell ref="G2847:H2847"/>
    <mergeCell ref="E2824:F2824"/>
    <mergeCell ref="G2824:H2824"/>
    <mergeCell ref="E2825:F2825"/>
    <mergeCell ref="G2825:H2825"/>
    <mergeCell ref="E2826:F2826"/>
    <mergeCell ref="G2826:H2826"/>
    <mergeCell ref="B2827:D2827"/>
    <mergeCell ref="B2828:D2828"/>
    <mergeCell ref="B2829:D2829"/>
    <mergeCell ref="B2830:D2830"/>
    <mergeCell ref="B2831:D2831"/>
    <mergeCell ref="B2833:F2833"/>
    <mergeCell ref="E2834:F2834"/>
    <mergeCell ref="G2834:H2834"/>
    <mergeCell ref="E2835:F2835"/>
    <mergeCell ref="G2835:H2835"/>
    <mergeCell ref="E2812:F2812"/>
    <mergeCell ref="G2812:H2812"/>
    <mergeCell ref="E2813:F2813"/>
    <mergeCell ref="G2813:H2813"/>
    <mergeCell ref="E2814:F2814"/>
    <mergeCell ref="G2814:H2814"/>
    <mergeCell ref="B2815:D2815"/>
    <mergeCell ref="B2816:D2816"/>
    <mergeCell ref="B2817:D2817"/>
    <mergeCell ref="B2818:D2818"/>
    <mergeCell ref="B2819:D2819"/>
    <mergeCell ref="B2821:F2821"/>
    <mergeCell ref="E2822:F2822"/>
    <mergeCell ref="G2822:H2822"/>
    <mergeCell ref="E2823:F2823"/>
    <mergeCell ref="G2823:H2823"/>
    <mergeCell ref="E2800:F2800"/>
    <mergeCell ref="G2800:H2800"/>
    <mergeCell ref="E2801:F2801"/>
    <mergeCell ref="G2801:H2801"/>
    <mergeCell ref="E2802:F2802"/>
    <mergeCell ref="G2802:H2802"/>
    <mergeCell ref="B2803:D2803"/>
    <mergeCell ref="B2804:D2804"/>
    <mergeCell ref="B2805:D2805"/>
    <mergeCell ref="B2806:D2806"/>
    <mergeCell ref="B2807:D2807"/>
    <mergeCell ref="B2809:F2809"/>
    <mergeCell ref="E2810:F2810"/>
    <mergeCell ref="G2810:H2810"/>
    <mergeCell ref="E2811:F2811"/>
    <mergeCell ref="G2811:H2811"/>
    <mergeCell ref="E2788:F2788"/>
    <mergeCell ref="G2788:H2788"/>
    <mergeCell ref="E2789:F2789"/>
    <mergeCell ref="G2789:H2789"/>
    <mergeCell ref="E2790:F2790"/>
    <mergeCell ref="G2790:H2790"/>
    <mergeCell ref="B2791:D2791"/>
    <mergeCell ref="B2792:D2792"/>
    <mergeCell ref="B2793:D2793"/>
    <mergeCell ref="B2794:D2794"/>
    <mergeCell ref="B2795:D2795"/>
    <mergeCell ref="B2797:F2797"/>
    <mergeCell ref="E2798:F2798"/>
    <mergeCell ref="G2798:H2798"/>
    <mergeCell ref="E2799:F2799"/>
    <mergeCell ref="G2799:H2799"/>
    <mergeCell ref="B2775:F2775"/>
    <mergeCell ref="E2776:F2776"/>
    <mergeCell ref="G2776:H2776"/>
    <mergeCell ref="E2777:F2777"/>
    <mergeCell ref="G2777:H2777"/>
    <mergeCell ref="E2778:F2778"/>
    <mergeCell ref="G2778:H2778"/>
    <mergeCell ref="B2779:D2779"/>
    <mergeCell ref="B2780:D2780"/>
    <mergeCell ref="B2781:D2781"/>
    <mergeCell ref="B2782:D2782"/>
    <mergeCell ref="B2783:D2783"/>
    <mergeCell ref="B2785:F2785"/>
    <mergeCell ref="E2786:F2786"/>
    <mergeCell ref="G2786:H2786"/>
    <mergeCell ref="E2787:F2787"/>
    <mergeCell ref="G2787:H2787"/>
    <mergeCell ref="B2761:D2761"/>
    <mergeCell ref="B2762:D2762"/>
    <mergeCell ref="B2763:D2763"/>
    <mergeCell ref="B2765:F2765"/>
    <mergeCell ref="E2766:F2766"/>
    <mergeCell ref="G2766:H2766"/>
    <mergeCell ref="E2767:F2767"/>
    <mergeCell ref="G2767:H2767"/>
    <mergeCell ref="E2768:F2768"/>
    <mergeCell ref="G2768:H2768"/>
    <mergeCell ref="B2769:D2769"/>
    <mergeCell ref="B2770:D2770"/>
    <mergeCell ref="B2771:D2771"/>
    <mergeCell ref="B2772:D2772"/>
    <mergeCell ref="B2773:D2773"/>
    <mergeCell ref="B2748:D2748"/>
    <mergeCell ref="B2749:D2749"/>
    <mergeCell ref="B2750:D2750"/>
    <mergeCell ref="B2751:D2751"/>
    <mergeCell ref="B2752:D2752"/>
    <mergeCell ref="B2754:F2754"/>
    <mergeCell ref="E2755:F2755"/>
    <mergeCell ref="G2755:H2755"/>
    <mergeCell ref="E2756:F2756"/>
    <mergeCell ref="G2756:H2756"/>
    <mergeCell ref="E2757:F2757"/>
    <mergeCell ref="G2757:H2757"/>
    <mergeCell ref="E2758:F2758"/>
    <mergeCell ref="G2758:H2758"/>
    <mergeCell ref="B2759:D2759"/>
    <mergeCell ref="B2760:D2760"/>
    <mergeCell ref="G2740:H2740"/>
    <mergeCell ref="E2741:F2741"/>
    <mergeCell ref="G2741:H2741"/>
    <mergeCell ref="E2742:F2742"/>
    <mergeCell ref="G2742:H2742"/>
    <mergeCell ref="E2743:F2743"/>
    <mergeCell ref="G2743:H2743"/>
    <mergeCell ref="E2744:F2744"/>
    <mergeCell ref="G2744:H2744"/>
    <mergeCell ref="E2745:F2745"/>
    <mergeCell ref="G2745:H2745"/>
    <mergeCell ref="E2746:F2746"/>
    <mergeCell ref="G2746:H2746"/>
    <mergeCell ref="E2747:F2747"/>
    <mergeCell ref="G2747:H2747"/>
    <mergeCell ref="E2694:F2694"/>
    <mergeCell ref="G2694:H2694"/>
    <mergeCell ref="E2695:F2695"/>
    <mergeCell ref="G2695:H2695"/>
    <mergeCell ref="E2696:F2696"/>
    <mergeCell ref="G2696:H2696"/>
    <mergeCell ref="G2727:H2727"/>
    <mergeCell ref="G2728:H2728"/>
    <mergeCell ref="G2729:H2729"/>
    <mergeCell ref="G2730:H2730"/>
    <mergeCell ref="E2728:F2728"/>
    <mergeCell ref="E2729:F2729"/>
    <mergeCell ref="E2730:F2730"/>
    <mergeCell ref="E2740:F2740"/>
    <mergeCell ref="B2685:D2685"/>
    <mergeCell ref="B2686:D2686"/>
    <mergeCell ref="B2687:D2687"/>
    <mergeCell ref="B2688:D2688"/>
    <mergeCell ref="B2689:D2689"/>
    <mergeCell ref="B2737:F2737"/>
    <mergeCell ref="B2738:F2738"/>
    <mergeCell ref="E2739:F2739"/>
    <mergeCell ref="G2739:H2739"/>
    <mergeCell ref="B2691:F2691"/>
    <mergeCell ref="B2701:D2701"/>
    <mergeCell ref="B2703:F2703"/>
    <mergeCell ref="E2704:F2704"/>
    <mergeCell ref="G2704:H2704"/>
    <mergeCell ref="E2705:F2705"/>
    <mergeCell ref="G2705:H2705"/>
    <mergeCell ref="E2706:F2706"/>
    <mergeCell ref="G2706:H2706"/>
    <mergeCell ref="E2707:F2707"/>
    <mergeCell ref="G2707:H2707"/>
    <mergeCell ref="E2708:F2708"/>
    <mergeCell ref="G2708:H2708"/>
    <mergeCell ref="B2709:D2709"/>
    <mergeCell ref="E2693:F2693"/>
    <mergeCell ref="G2693:H2693"/>
    <mergeCell ref="B2699:D2699"/>
    <mergeCell ref="B2700:D2700"/>
    <mergeCell ref="B2710:D2710"/>
    <mergeCell ref="B2711:D2711"/>
    <mergeCell ref="B2712:D2712"/>
    <mergeCell ref="E2719:F2719"/>
    <mergeCell ref="G2719:H2719"/>
    <mergeCell ref="B2673:D2673"/>
    <mergeCell ref="B2674:D2674"/>
    <mergeCell ref="B2675:D2675"/>
    <mergeCell ref="B2676:D2676"/>
    <mergeCell ref="B2677:D2677"/>
    <mergeCell ref="B2679:F2679"/>
    <mergeCell ref="E2680:F2680"/>
    <mergeCell ref="G2680:H2680"/>
    <mergeCell ref="E2681:F2681"/>
    <mergeCell ref="G2681:H2681"/>
    <mergeCell ref="E2682:F2682"/>
    <mergeCell ref="G2682:H2682"/>
    <mergeCell ref="E2683:F2683"/>
    <mergeCell ref="G2683:H2683"/>
    <mergeCell ref="E2684:F2684"/>
    <mergeCell ref="G2684:H2684"/>
    <mergeCell ref="B2661:D2661"/>
    <mergeCell ref="B2662:D2662"/>
    <mergeCell ref="B2663:D2663"/>
    <mergeCell ref="B2664:D2664"/>
    <mergeCell ref="B2665:D2665"/>
    <mergeCell ref="B2667:F2667"/>
    <mergeCell ref="E2668:F2668"/>
    <mergeCell ref="G2668:H2668"/>
    <mergeCell ref="E2669:F2669"/>
    <mergeCell ref="G2669:H2669"/>
    <mergeCell ref="E2670:F2670"/>
    <mergeCell ref="G2670:H2670"/>
    <mergeCell ref="E2671:F2671"/>
    <mergeCell ref="G2671:H2671"/>
    <mergeCell ref="E2672:F2672"/>
    <mergeCell ref="G2672:H2672"/>
    <mergeCell ref="B2649:D2649"/>
    <mergeCell ref="B2650:D2650"/>
    <mergeCell ref="B2651:D2651"/>
    <mergeCell ref="B2652:D2652"/>
    <mergeCell ref="B2653:D2653"/>
    <mergeCell ref="B2655:F2655"/>
    <mergeCell ref="E2656:F2656"/>
    <mergeCell ref="G2656:H2656"/>
    <mergeCell ref="E2657:F2657"/>
    <mergeCell ref="G2657:H2657"/>
    <mergeCell ref="E2658:F2658"/>
    <mergeCell ref="G2658:H2658"/>
    <mergeCell ref="E2659:F2659"/>
    <mergeCell ref="G2659:H2659"/>
    <mergeCell ref="E2660:F2660"/>
    <mergeCell ref="G2660:H2660"/>
    <mergeCell ref="B2637:D2637"/>
    <mergeCell ref="B2638:D2638"/>
    <mergeCell ref="B2639:D2639"/>
    <mergeCell ref="B2640:D2640"/>
    <mergeCell ref="B2641:D2641"/>
    <mergeCell ref="B2643:F2643"/>
    <mergeCell ref="E2644:F2644"/>
    <mergeCell ref="G2644:H2644"/>
    <mergeCell ref="E2645:F2645"/>
    <mergeCell ref="G2645:H2645"/>
    <mergeCell ref="E2646:F2646"/>
    <mergeCell ref="G2646:H2646"/>
    <mergeCell ref="E2647:F2647"/>
    <mergeCell ref="G2647:H2647"/>
    <mergeCell ref="E2648:F2648"/>
    <mergeCell ref="G2648:H2648"/>
    <mergeCell ref="B2625:D2625"/>
    <mergeCell ref="B2626:D2626"/>
    <mergeCell ref="B2627:D2627"/>
    <mergeCell ref="B2628:D2628"/>
    <mergeCell ref="B2629:D2629"/>
    <mergeCell ref="B2631:F2631"/>
    <mergeCell ref="E2632:F2632"/>
    <mergeCell ref="G2632:H2632"/>
    <mergeCell ref="E2633:F2633"/>
    <mergeCell ref="G2633:H2633"/>
    <mergeCell ref="E2634:F2634"/>
    <mergeCell ref="G2634:H2634"/>
    <mergeCell ref="E2635:F2635"/>
    <mergeCell ref="G2635:H2635"/>
    <mergeCell ref="E2636:F2636"/>
    <mergeCell ref="G2636:H2636"/>
    <mergeCell ref="B2613:D2613"/>
    <mergeCell ref="B2614:D2614"/>
    <mergeCell ref="B2615:D2615"/>
    <mergeCell ref="B2616:D2616"/>
    <mergeCell ref="B2617:D2617"/>
    <mergeCell ref="B2619:F2619"/>
    <mergeCell ref="E2620:F2620"/>
    <mergeCell ref="G2620:H2620"/>
    <mergeCell ref="E2621:F2621"/>
    <mergeCell ref="G2621:H2621"/>
    <mergeCell ref="E2622:F2622"/>
    <mergeCell ref="G2622:H2622"/>
    <mergeCell ref="E2623:F2623"/>
    <mergeCell ref="G2623:H2623"/>
    <mergeCell ref="E2624:F2624"/>
    <mergeCell ref="G2624:H2624"/>
    <mergeCell ref="B2601:D2601"/>
    <mergeCell ref="B2602:D2602"/>
    <mergeCell ref="B2603:D2603"/>
    <mergeCell ref="B2604:D2604"/>
    <mergeCell ref="B2605:D2605"/>
    <mergeCell ref="B2607:F2607"/>
    <mergeCell ref="E2608:F2608"/>
    <mergeCell ref="G2608:H2608"/>
    <mergeCell ref="E2609:F2609"/>
    <mergeCell ref="G2609:H2609"/>
    <mergeCell ref="E2610:F2610"/>
    <mergeCell ref="G2610:H2610"/>
    <mergeCell ref="E2611:F2611"/>
    <mergeCell ref="G2611:H2611"/>
    <mergeCell ref="E2612:F2612"/>
    <mergeCell ref="G2612:H2612"/>
    <mergeCell ref="B2589:D2589"/>
    <mergeCell ref="B2590:D2590"/>
    <mergeCell ref="B2591:D2591"/>
    <mergeCell ref="B2592:D2592"/>
    <mergeCell ref="B2593:D2593"/>
    <mergeCell ref="B2595:F2595"/>
    <mergeCell ref="E2596:F2596"/>
    <mergeCell ref="G2596:H2596"/>
    <mergeCell ref="E2597:F2597"/>
    <mergeCell ref="G2597:H2597"/>
    <mergeCell ref="E2598:F2598"/>
    <mergeCell ref="G2598:H2598"/>
    <mergeCell ref="E2599:F2599"/>
    <mergeCell ref="G2599:H2599"/>
    <mergeCell ref="E2600:F2600"/>
    <mergeCell ref="G2600:H2600"/>
    <mergeCell ref="B2577:D2577"/>
    <mergeCell ref="B2578:D2578"/>
    <mergeCell ref="B2579:D2579"/>
    <mergeCell ref="B2580:D2580"/>
    <mergeCell ref="B2581:D2581"/>
    <mergeCell ref="B2583:F2583"/>
    <mergeCell ref="E2584:F2584"/>
    <mergeCell ref="G2584:H2584"/>
    <mergeCell ref="E2585:F2585"/>
    <mergeCell ref="G2585:H2585"/>
    <mergeCell ref="E2586:F2586"/>
    <mergeCell ref="G2586:H2586"/>
    <mergeCell ref="E2587:F2587"/>
    <mergeCell ref="G2587:H2587"/>
    <mergeCell ref="E2588:F2588"/>
    <mergeCell ref="G2588:H2588"/>
    <mergeCell ref="B2565:D2565"/>
    <mergeCell ref="B2566:D2566"/>
    <mergeCell ref="B2567:D2567"/>
    <mergeCell ref="B2568:D2568"/>
    <mergeCell ref="B2569:D2569"/>
    <mergeCell ref="B2571:F2571"/>
    <mergeCell ref="E2572:F2572"/>
    <mergeCell ref="G2572:H2572"/>
    <mergeCell ref="E2573:F2573"/>
    <mergeCell ref="G2573:H2573"/>
    <mergeCell ref="E2574:F2574"/>
    <mergeCell ref="G2574:H2574"/>
    <mergeCell ref="E2575:F2575"/>
    <mergeCell ref="G2575:H2575"/>
    <mergeCell ref="E2576:F2576"/>
    <mergeCell ref="G2576:H2576"/>
    <mergeCell ref="B2553:D2553"/>
    <mergeCell ref="B2554:D2554"/>
    <mergeCell ref="B2555:D2555"/>
    <mergeCell ref="B2556:D2556"/>
    <mergeCell ref="B2557:D2557"/>
    <mergeCell ref="B2559:F2559"/>
    <mergeCell ref="E2560:F2560"/>
    <mergeCell ref="G2560:H2560"/>
    <mergeCell ref="E2561:F2561"/>
    <mergeCell ref="G2561:H2561"/>
    <mergeCell ref="E2562:F2562"/>
    <mergeCell ref="G2562:H2562"/>
    <mergeCell ref="E2563:F2563"/>
    <mergeCell ref="G2563:H2563"/>
    <mergeCell ref="E2564:F2564"/>
    <mergeCell ref="G2564:H2564"/>
    <mergeCell ref="B2541:D2541"/>
    <mergeCell ref="B2542:D2542"/>
    <mergeCell ref="B2543:D2543"/>
    <mergeCell ref="B2544:D2544"/>
    <mergeCell ref="B2545:D2545"/>
    <mergeCell ref="B2547:F2547"/>
    <mergeCell ref="E2548:F2548"/>
    <mergeCell ref="G2548:H2548"/>
    <mergeCell ref="E2549:F2549"/>
    <mergeCell ref="G2549:H2549"/>
    <mergeCell ref="E2550:F2550"/>
    <mergeCell ref="G2550:H2550"/>
    <mergeCell ref="E2551:F2551"/>
    <mergeCell ref="G2551:H2551"/>
    <mergeCell ref="E2552:F2552"/>
    <mergeCell ref="G2552:H2552"/>
    <mergeCell ref="B2529:D2529"/>
    <mergeCell ref="B2530:D2530"/>
    <mergeCell ref="B2531:D2531"/>
    <mergeCell ref="B2532:D2532"/>
    <mergeCell ref="B2533:D2533"/>
    <mergeCell ref="B2535:F2535"/>
    <mergeCell ref="E2536:F2536"/>
    <mergeCell ref="G2536:H2536"/>
    <mergeCell ref="E2537:F2537"/>
    <mergeCell ref="G2537:H2537"/>
    <mergeCell ref="E2538:F2538"/>
    <mergeCell ref="G2538:H2538"/>
    <mergeCell ref="E2539:F2539"/>
    <mergeCell ref="G2539:H2539"/>
    <mergeCell ref="E2540:F2540"/>
    <mergeCell ref="G2540:H2540"/>
    <mergeCell ref="B2517:D2517"/>
    <mergeCell ref="B2518:D2518"/>
    <mergeCell ref="B2519:D2519"/>
    <mergeCell ref="B2520:D2520"/>
    <mergeCell ref="B2521:D2521"/>
    <mergeCell ref="B2523:F2523"/>
    <mergeCell ref="E2524:F2524"/>
    <mergeCell ref="G2524:H2524"/>
    <mergeCell ref="E2525:F2525"/>
    <mergeCell ref="G2525:H2525"/>
    <mergeCell ref="E2526:F2526"/>
    <mergeCell ref="G2526:H2526"/>
    <mergeCell ref="E2527:F2527"/>
    <mergeCell ref="G2527:H2527"/>
    <mergeCell ref="E2528:F2528"/>
    <mergeCell ref="G2528:H2528"/>
    <mergeCell ref="B2505:D2505"/>
    <mergeCell ref="B2506:D2506"/>
    <mergeCell ref="B2507:D2507"/>
    <mergeCell ref="B2508:D2508"/>
    <mergeCell ref="B2509:D2509"/>
    <mergeCell ref="B2511:F2511"/>
    <mergeCell ref="E2512:F2512"/>
    <mergeCell ref="G2512:H2512"/>
    <mergeCell ref="E2513:F2513"/>
    <mergeCell ref="G2513:H2513"/>
    <mergeCell ref="E2514:F2514"/>
    <mergeCell ref="G2514:H2514"/>
    <mergeCell ref="E2515:F2515"/>
    <mergeCell ref="G2515:H2515"/>
    <mergeCell ref="E2516:F2516"/>
    <mergeCell ref="G2516:H2516"/>
    <mergeCell ref="B2493:D2493"/>
    <mergeCell ref="B2494:D2494"/>
    <mergeCell ref="B2495:D2495"/>
    <mergeCell ref="B2496:D2496"/>
    <mergeCell ref="B2497:D2497"/>
    <mergeCell ref="B2499:F2499"/>
    <mergeCell ref="E2500:F2500"/>
    <mergeCell ref="G2500:H2500"/>
    <mergeCell ref="E2501:F2501"/>
    <mergeCell ref="G2501:H2501"/>
    <mergeCell ref="E2502:F2502"/>
    <mergeCell ref="G2502:H2502"/>
    <mergeCell ref="E2503:F2503"/>
    <mergeCell ref="G2503:H2503"/>
    <mergeCell ref="E2504:F2504"/>
    <mergeCell ref="G2504:H2504"/>
    <mergeCell ref="B2481:D2481"/>
    <mergeCell ref="B2482:D2482"/>
    <mergeCell ref="B2483:D2483"/>
    <mergeCell ref="B2484:D2484"/>
    <mergeCell ref="B2485:D2485"/>
    <mergeCell ref="B2487:F2487"/>
    <mergeCell ref="E2488:F2488"/>
    <mergeCell ref="G2488:H2488"/>
    <mergeCell ref="E2489:F2489"/>
    <mergeCell ref="G2489:H2489"/>
    <mergeCell ref="E2490:F2490"/>
    <mergeCell ref="G2490:H2490"/>
    <mergeCell ref="E2491:F2491"/>
    <mergeCell ref="G2491:H2491"/>
    <mergeCell ref="E2492:F2492"/>
    <mergeCell ref="G2492:H2492"/>
    <mergeCell ref="B2469:D2469"/>
    <mergeCell ref="B2470:D2470"/>
    <mergeCell ref="B2471:D2471"/>
    <mergeCell ref="B2472:D2472"/>
    <mergeCell ref="B2473:D2473"/>
    <mergeCell ref="B2475:F2475"/>
    <mergeCell ref="E2476:F2476"/>
    <mergeCell ref="G2476:H2476"/>
    <mergeCell ref="E2477:F2477"/>
    <mergeCell ref="G2477:H2477"/>
    <mergeCell ref="E2478:F2478"/>
    <mergeCell ref="G2478:H2478"/>
    <mergeCell ref="E2479:F2479"/>
    <mergeCell ref="G2479:H2479"/>
    <mergeCell ref="E2480:F2480"/>
    <mergeCell ref="G2480:H2480"/>
    <mergeCell ref="B2457:D2457"/>
    <mergeCell ref="B2458:D2458"/>
    <mergeCell ref="B2459:D2459"/>
    <mergeCell ref="B2460:D2460"/>
    <mergeCell ref="B2461:D2461"/>
    <mergeCell ref="B2463:F2463"/>
    <mergeCell ref="E2464:F2464"/>
    <mergeCell ref="G2464:H2464"/>
    <mergeCell ref="E2465:F2465"/>
    <mergeCell ref="G2465:H2465"/>
    <mergeCell ref="E2466:F2466"/>
    <mergeCell ref="G2466:H2466"/>
    <mergeCell ref="E2467:F2467"/>
    <mergeCell ref="G2467:H2467"/>
    <mergeCell ref="E2468:F2468"/>
    <mergeCell ref="G2468:H2468"/>
    <mergeCell ref="B2445:D2445"/>
    <mergeCell ref="B2446:D2446"/>
    <mergeCell ref="B2447:D2447"/>
    <mergeCell ref="B2448:D2448"/>
    <mergeCell ref="B2449:D2449"/>
    <mergeCell ref="B2451:F2451"/>
    <mergeCell ref="E2452:F2452"/>
    <mergeCell ref="G2452:H2452"/>
    <mergeCell ref="E2453:F2453"/>
    <mergeCell ref="G2453:H2453"/>
    <mergeCell ref="E2454:F2454"/>
    <mergeCell ref="G2454:H2454"/>
    <mergeCell ref="E2455:F2455"/>
    <mergeCell ref="G2455:H2455"/>
    <mergeCell ref="E2456:F2456"/>
    <mergeCell ref="G2456:H2456"/>
    <mergeCell ref="B2433:D2433"/>
    <mergeCell ref="B2434:D2434"/>
    <mergeCell ref="B2435:D2435"/>
    <mergeCell ref="B2436:D2436"/>
    <mergeCell ref="B2437:D2437"/>
    <mergeCell ref="B2439:F2439"/>
    <mergeCell ref="E2440:F2440"/>
    <mergeCell ref="G2440:H2440"/>
    <mergeCell ref="E2441:F2441"/>
    <mergeCell ref="G2441:H2441"/>
    <mergeCell ref="E2442:F2442"/>
    <mergeCell ref="G2442:H2442"/>
    <mergeCell ref="E2443:F2443"/>
    <mergeCell ref="G2443:H2443"/>
    <mergeCell ref="E2444:F2444"/>
    <mergeCell ref="G2444:H2444"/>
    <mergeCell ref="E2421:F2421"/>
    <mergeCell ref="G2421:H2421"/>
    <mergeCell ref="B2422:D2422"/>
    <mergeCell ref="B2423:D2423"/>
    <mergeCell ref="B2424:D2424"/>
    <mergeCell ref="B2425:D2425"/>
    <mergeCell ref="B2426:D2426"/>
    <mergeCell ref="B2428:F2428"/>
    <mergeCell ref="E2429:F2429"/>
    <mergeCell ref="G2429:H2429"/>
    <mergeCell ref="E2430:F2430"/>
    <mergeCell ref="G2430:H2430"/>
    <mergeCell ref="E2431:F2431"/>
    <mergeCell ref="G2431:H2431"/>
    <mergeCell ref="E2432:F2432"/>
    <mergeCell ref="G2432:H2432"/>
    <mergeCell ref="E2409:F2409"/>
    <mergeCell ref="G2409:H2409"/>
    <mergeCell ref="E2410:F2410"/>
    <mergeCell ref="G2410:H2410"/>
    <mergeCell ref="B2411:D2411"/>
    <mergeCell ref="B2412:D2412"/>
    <mergeCell ref="B2413:D2413"/>
    <mergeCell ref="B2414:D2414"/>
    <mergeCell ref="B2415:D2415"/>
    <mergeCell ref="B2417:F2417"/>
    <mergeCell ref="E2418:F2418"/>
    <mergeCell ref="G2418:H2418"/>
    <mergeCell ref="E2419:F2419"/>
    <mergeCell ref="G2419:H2419"/>
    <mergeCell ref="E2420:F2420"/>
    <mergeCell ref="G2420:H2420"/>
    <mergeCell ref="E2397:F2397"/>
    <mergeCell ref="G2397:H2397"/>
    <mergeCell ref="E2398:F2398"/>
    <mergeCell ref="G2398:H2398"/>
    <mergeCell ref="B2399:D2399"/>
    <mergeCell ref="B2400:D2400"/>
    <mergeCell ref="B2401:D2401"/>
    <mergeCell ref="B2402:D2402"/>
    <mergeCell ref="B2403:D2403"/>
    <mergeCell ref="B2405:F2405"/>
    <mergeCell ref="E2406:F2406"/>
    <mergeCell ref="G2406:H2406"/>
    <mergeCell ref="E2407:F2407"/>
    <mergeCell ref="G2407:H2407"/>
    <mergeCell ref="E2408:F2408"/>
    <mergeCell ref="G2408:H2408"/>
    <mergeCell ref="E2385:F2385"/>
    <mergeCell ref="G2385:H2385"/>
    <mergeCell ref="E2386:F2386"/>
    <mergeCell ref="G2386:H2386"/>
    <mergeCell ref="B2387:D2387"/>
    <mergeCell ref="B2388:D2388"/>
    <mergeCell ref="B2389:D2389"/>
    <mergeCell ref="B2390:D2390"/>
    <mergeCell ref="B2391:D2391"/>
    <mergeCell ref="B2393:F2393"/>
    <mergeCell ref="E2394:F2394"/>
    <mergeCell ref="G2394:H2394"/>
    <mergeCell ref="E2395:F2395"/>
    <mergeCell ref="G2395:H2395"/>
    <mergeCell ref="E2396:F2396"/>
    <mergeCell ref="G2396:H2396"/>
    <mergeCell ref="E2373:F2373"/>
    <mergeCell ref="G2373:H2373"/>
    <mergeCell ref="E2374:F2374"/>
    <mergeCell ref="G2374:H2374"/>
    <mergeCell ref="B2375:D2375"/>
    <mergeCell ref="B2376:D2376"/>
    <mergeCell ref="B2377:D2377"/>
    <mergeCell ref="B2378:D2378"/>
    <mergeCell ref="B2379:D2379"/>
    <mergeCell ref="B2381:F2381"/>
    <mergeCell ref="E2382:F2382"/>
    <mergeCell ref="G2382:H2382"/>
    <mergeCell ref="E2383:F2383"/>
    <mergeCell ref="G2383:H2383"/>
    <mergeCell ref="E2384:F2384"/>
    <mergeCell ref="G2384:H2384"/>
    <mergeCell ref="E2361:F2361"/>
    <mergeCell ref="G2361:H2361"/>
    <mergeCell ref="E2362:F2362"/>
    <mergeCell ref="G2362:H2362"/>
    <mergeCell ref="B2363:D2363"/>
    <mergeCell ref="B2364:D2364"/>
    <mergeCell ref="B2365:D2365"/>
    <mergeCell ref="B2366:D2366"/>
    <mergeCell ref="B2367:D2367"/>
    <mergeCell ref="B2369:F2369"/>
    <mergeCell ref="E2370:F2370"/>
    <mergeCell ref="G2370:H2370"/>
    <mergeCell ref="E2371:F2371"/>
    <mergeCell ref="G2371:H2371"/>
    <mergeCell ref="E2372:F2372"/>
    <mergeCell ref="G2372:H2372"/>
    <mergeCell ref="E2349:F2349"/>
    <mergeCell ref="G2349:H2349"/>
    <mergeCell ref="E2350:F2350"/>
    <mergeCell ref="G2350:H2350"/>
    <mergeCell ref="B2351:D2351"/>
    <mergeCell ref="B2352:D2352"/>
    <mergeCell ref="B2353:D2353"/>
    <mergeCell ref="B2354:D2354"/>
    <mergeCell ref="B2355:D2355"/>
    <mergeCell ref="B2357:F2357"/>
    <mergeCell ref="E2358:F2358"/>
    <mergeCell ref="G2358:H2358"/>
    <mergeCell ref="E2359:F2359"/>
    <mergeCell ref="G2359:H2359"/>
    <mergeCell ref="J2194:K2194"/>
    <mergeCell ref="E2360:F2360"/>
    <mergeCell ref="G2360:H2360"/>
    <mergeCell ref="J2195:K2195"/>
    <mergeCell ref="E2337:F2337"/>
    <mergeCell ref="G2337:H2337"/>
    <mergeCell ref="E2338:F2338"/>
    <mergeCell ref="G2338:H2338"/>
    <mergeCell ref="B2339:D2339"/>
    <mergeCell ref="B2340:D2340"/>
    <mergeCell ref="B2341:D2341"/>
    <mergeCell ref="B2342:D2342"/>
    <mergeCell ref="B2343:D2343"/>
    <mergeCell ref="B2345:F2345"/>
    <mergeCell ref="E2346:F2346"/>
    <mergeCell ref="G2346:H2346"/>
    <mergeCell ref="E2347:F2347"/>
    <mergeCell ref="G2347:H2347"/>
    <mergeCell ref="E2348:F2348"/>
    <mergeCell ref="G2348:H2348"/>
    <mergeCell ref="E2325:F2325"/>
    <mergeCell ref="G2325:H2325"/>
    <mergeCell ref="E2326:F2326"/>
    <mergeCell ref="G2326:H2326"/>
    <mergeCell ref="B2327:D2327"/>
    <mergeCell ref="B2328:D2328"/>
    <mergeCell ref="B2329:D2329"/>
    <mergeCell ref="B2330:D2330"/>
    <mergeCell ref="B2331:D2331"/>
    <mergeCell ref="B2333:F2333"/>
    <mergeCell ref="E2334:F2334"/>
    <mergeCell ref="G2334:H2334"/>
    <mergeCell ref="E2335:F2335"/>
    <mergeCell ref="G2335:H2335"/>
    <mergeCell ref="E2336:F2336"/>
    <mergeCell ref="G2336:H2336"/>
    <mergeCell ref="E2313:F2313"/>
    <mergeCell ref="G2313:H2313"/>
    <mergeCell ref="E2314:F2314"/>
    <mergeCell ref="G2314:H2314"/>
    <mergeCell ref="B2315:D2315"/>
    <mergeCell ref="B2316:D2316"/>
    <mergeCell ref="B2317:D2317"/>
    <mergeCell ref="B2318:D2318"/>
    <mergeCell ref="B2319:D2319"/>
    <mergeCell ref="B2321:F2321"/>
    <mergeCell ref="E2322:F2322"/>
    <mergeCell ref="G2322:H2322"/>
    <mergeCell ref="E2323:F2323"/>
    <mergeCell ref="G2323:H2323"/>
    <mergeCell ref="E2324:F2324"/>
    <mergeCell ref="G2324:H2324"/>
    <mergeCell ref="E2301:F2301"/>
    <mergeCell ref="G2301:H2301"/>
    <mergeCell ref="E2302:F2302"/>
    <mergeCell ref="G2302:H2302"/>
    <mergeCell ref="B2303:D2303"/>
    <mergeCell ref="B2304:D2304"/>
    <mergeCell ref="B2305:D2305"/>
    <mergeCell ref="B2306:D2306"/>
    <mergeCell ref="B2307:D2307"/>
    <mergeCell ref="B2309:F2309"/>
    <mergeCell ref="E2310:F2310"/>
    <mergeCell ref="G2310:H2310"/>
    <mergeCell ref="E2311:F2311"/>
    <mergeCell ref="G2311:H2311"/>
    <mergeCell ref="E2312:F2312"/>
    <mergeCell ref="G2312:H2312"/>
    <mergeCell ref="E2289:F2289"/>
    <mergeCell ref="G2289:H2289"/>
    <mergeCell ref="E2290:F2290"/>
    <mergeCell ref="G2290:H2290"/>
    <mergeCell ref="B2291:D2291"/>
    <mergeCell ref="B2292:D2292"/>
    <mergeCell ref="B2293:D2293"/>
    <mergeCell ref="B2294:D2294"/>
    <mergeCell ref="B2295:D2295"/>
    <mergeCell ref="B2297:F2297"/>
    <mergeCell ref="E2298:F2298"/>
    <mergeCell ref="G2298:H2298"/>
    <mergeCell ref="E2299:F2299"/>
    <mergeCell ref="G2299:H2299"/>
    <mergeCell ref="E2300:F2300"/>
    <mergeCell ref="G2300:H2300"/>
    <mergeCell ref="E2277:F2277"/>
    <mergeCell ref="G2277:H2277"/>
    <mergeCell ref="E2278:F2278"/>
    <mergeCell ref="G2278:H2278"/>
    <mergeCell ref="B2279:D2279"/>
    <mergeCell ref="B2280:D2280"/>
    <mergeCell ref="B2281:D2281"/>
    <mergeCell ref="B2282:D2282"/>
    <mergeCell ref="B2283:D2283"/>
    <mergeCell ref="B2285:F2285"/>
    <mergeCell ref="E2286:F2286"/>
    <mergeCell ref="G2286:H2286"/>
    <mergeCell ref="E2287:F2287"/>
    <mergeCell ref="G2287:H2287"/>
    <mergeCell ref="E2288:F2288"/>
    <mergeCell ref="G2288:H2288"/>
    <mergeCell ref="E2265:F2265"/>
    <mergeCell ref="G2265:H2265"/>
    <mergeCell ref="E2266:F2266"/>
    <mergeCell ref="G2266:H2266"/>
    <mergeCell ref="B2267:D2267"/>
    <mergeCell ref="B2268:D2268"/>
    <mergeCell ref="B2269:D2269"/>
    <mergeCell ref="B2270:D2270"/>
    <mergeCell ref="B2271:D2271"/>
    <mergeCell ref="B2273:F2273"/>
    <mergeCell ref="E2274:F2274"/>
    <mergeCell ref="G2274:H2274"/>
    <mergeCell ref="E2275:F2275"/>
    <mergeCell ref="G2275:H2275"/>
    <mergeCell ref="E2276:F2276"/>
    <mergeCell ref="G2276:H2276"/>
    <mergeCell ref="E2253:F2253"/>
    <mergeCell ref="G2253:H2253"/>
    <mergeCell ref="E2254:F2254"/>
    <mergeCell ref="G2254:H2254"/>
    <mergeCell ref="B2255:D2255"/>
    <mergeCell ref="B2256:D2256"/>
    <mergeCell ref="B2257:D2257"/>
    <mergeCell ref="B2258:D2258"/>
    <mergeCell ref="B2259:D2259"/>
    <mergeCell ref="B2261:F2261"/>
    <mergeCell ref="E2262:F2262"/>
    <mergeCell ref="G2262:H2262"/>
    <mergeCell ref="E2263:F2263"/>
    <mergeCell ref="G2263:H2263"/>
    <mergeCell ref="E2264:F2264"/>
    <mergeCell ref="G2264:H2264"/>
    <mergeCell ref="E2241:F2241"/>
    <mergeCell ref="G2241:H2241"/>
    <mergeCell ref="E2242:F2242"/>
    <mergeCell ref="G2242:H2242"/>
    <mergeCell ref="B2243:D2243"/>
    <mergeCell ref="B2244:D2244"/>
    <mergeCell ref="B2245:D2245"/>
    <mergeCell ref="B2246:D2246"/>
    <mergeCell ref="B2247:D2247"/>
    <mergeCell ref="B2249:F2249"/>
    <mergeCell ref="E2250:F2250"/>
    <mergeCell ref="G2250:H2250"/>
    <mergeCell ref="E2251:F2251"/>
    <mergeCell ref="G2251:H2251"/>
    <mergeCell ref="E2252:F2252"/>
    <mergeCell ref="G2252:H2252"/>
    <mergeCell ref="E2229:F2229"/>
    <mergeCell ref="G2229:H2229"/>
    <mergeCell ref="E2230:F2230"/>
    <mergeCell ref="G2230:H2230"/>
    <mergeCell ref="B2231:D2231"/>
    <mergeCell ref="B2232:D2232"/>
    <mergeCell ref="B2233:D2233"/>
    <mergeCell ref="B2234:D2234"/>
    <mergeCell ref="B2235:D2235"/>
    <mergeCell ref="B2237:F2237"/>
    <mergeCell ref="E2238:F2238"/>
    <mergeCell ref="G2238:H2238"/>
    <mergeCell ref="E2239:F2239"/>
    <mergeCell ref="G2239:H2239"/>
    <mergeCell ref="E2240:F2240"/>
    <mergeCell ref="G2240:H2240"/>
    <mergeCell ref="E2217:F2217"/>
    <mergeCell ref="G2217:H2217"/>
    <mergeCell ref="E2218:F2218"/>
    <mergeCell ref="G2218:H2218"/>
    <mergeCell ref="B2219:D2219"/>
    <mergeCell ref="B2220:D2220"/>
    <mergeCell ref="B2221:D2221"/>
    <mergeCell ref="B2222:D2222"/>
    <mergeCell ref="B2223:D2223"/>
    <mergeCell ref="B2225:F2225"/>
    <mergeCell ref="E2226:F2226"/>
    <mergeCell ref="G2226:H2226"/>
    <mergeCell ref="E2227:F2227"/>
    <mergeCell ref="G2227:H2227"/>
    <mergeCell ref="E2228:F2228"/>
    <mergeCell ref="G2228:H2228"/>
    <mergeCell ref="E2205:F2205"/>
    <mergeCell ref="G2205:H2205"/>
    <mergeCell ref="E2206:F2206"/>
    <mergeCell ref="G2206:H2206"/>
    <mergeCell ref="B2207:D2207"/>
    <mergeCell ref="B2208:D2208"/>
    <mergeCell ref="B2209:D2209"/>
    <mergeCell ref="B2210:D2210"/>
    <mergeCell ref="B2211:D2211"/>
    <mergeCell ref="B2213:F2213"/>
    <mergeCell ref="E2214:F2214"/>
    <mergeCell ref="G2214:H2214"/>
    <mergeCell ref="E2215:F2215"/>
    <mergeCell ref="G2215:H2215"/>
    <mergeCell ref="E2216:F2216"/>
    <mergeCell ref="G2216:H2216"/>
    <mergeCell ref="E2193:F2193"/>
    <mergeCell ref="G2193:H2193"/>
    <mergeCell ref="E2194:F2194"/>
    <mergeCell ref="G2194:H2194"/>
    <mergeCell ref="B2195:D2195"/>
    <mergeCell ref="B2196:D2196"/>
    <mergeCell ref="B2197:D2197"/>
    <mergeCell ref="B2198:D2198"/>
    <mergeCell ref="B2199:D2199"/>
    <mergeCell ref="B2201:F2201"/>
    <mergeCell ref="E2202:F2202"/>
    <mergeCell ref="G2202:H2202"/>
    <mergeCell ref="E2203:F2203"/>
    <mergeCell ref="G2203:H2203"/>
    <mergeCell ref="E2204:F2204"/>
    <mergeCell ref="G2204:H2204"/>
    <mergeCell ref="E2182:F2182"/>
    <mergeCell ref="G2182:H2182"/>
    <mergeCell ref="B2183:D2183"/>
    <mergeCell ref="B2184:D2184"/>
    <mergeCell ref="B2185:D2185"/>
    <mergeCell ref="B2186:D2186"/>
    <mergeCell ref="B2187:D2187"/>
    <mergeCell ref="B2189:F2189"/>
    <mergeCell ref="E2190:F2190"/>
    <mergeCell ref="G2190:H2190"/>
    <mergeCell ref="E2191:F2191"/>
    <mergeCell ref="G2191:H2191"/>
    <mergeCell ref="E2192:F2192"/>
    <mergeCell ref="G2192:H2192"/>
    <mergeCell ref="E2169:F2169"/>
    <mergeCell ref="G2169:H2169"/>
    <mergeCell ref="B2170:D2170"/>
    <mergeCell ref="B2171:D2171"/>
    <mergeCell ref="B2172:D2172"/>
    <mergeCell ref="B2173:D2173"/>
    <mergeCell ref="B2174:D2174"/>
    <mergeCell ref="B2176:F2176"/>
    <mergeCell ref="E2177:F2177"/>
    <mergeCell ref="G2177:H2177"/>
    <mergeCell ref="E2178:F2178"/>
    <mergeCell ref="G2178:H2178"/>
    <mergeCell ref="E2179:F2179"/>
    <mergeCell ref="G2179:H2179"/>
    <mergeCell ref="E2180:F2180"/>
    <mergeCell ref="G2180:H2180"/>
    <mergeCell ref="B2146:D2146"/>
    <mergeCell ref="B2147:D2147"/>
    <mergeCell ref="B2148:D2148"/>
    <mergeCell ref="B2150:F2150"/>
    <mergeCell ref="E2151:F2151"/>
    <mergeCell ref="G2151:H2151"/>
    <mergeCell ref="E2152:F2152"/>
    <mergeCell ref="G2152:H2152"/>
    <mergeCell ref="E2153:F2153"/>
    <mergeCell ref="G2153:H2153"/>
    <mergeCell ref="E2154:F2154"/>
    <mergeCell ref="G2154:H2154"/>
    <mergeCell ref="E2155:F2155"/>
    <mergeCell ref="G2155:H2155"/>
    <mergeCell ref="E2156:F2156"/>
    <mergeCell ref="G2156:H2156"/>
    <mergeCell ref="E2181:F2181"/>
    <mergeCell ref="G2181:H2181"/>
    <mergeCell ref="E3416:F3416"/>
    <mergeCell ref="G3416:H3416"/>
    <mergeCell ref="B3418:D3418"/>
    <mergeCell ref="B3419:D3419"/>
    <mergeCell ref="B3420:D3420"/>
    <mergeCell ref="B3421:D3421"/>
    <mergeCell ref="E2142:F2142"/>
    <mergeCell ref="G2142:H2142"/>
    <mergeCell ref="E2143:F2143"/>
    <mergeCell ref="G2143:H2143"/>
    <mergeCell ref="B2144:D2144"/>
    <mergeCell ref="B2145:D2145"/>
    <mergeCell ref="G3391:H3391"/>
    <mergeCell ref="B3395:D3395"/>
    <mergeCell ref="B3397:D3397"/>
    <mergeCell ref="B3398:D3398"/>
    <mergeCell ref="E3402:F3402"/>
    <mergeCell ref="G3402:H3402"/>
    <mergeCell ref="B3406:D3406"/>
    <mergeCell ref="B3412:F3412"/>
    <mergeCell ref="E3413:F3413"/>
    <mergeCell ref="G3413:H3413"/>
    <mergeCell ref="E3381:F3381"/>
    <mergeCell ref="G3381:H3381"/>
    <mergeCell ref="E3382:F3382"/>
    <mergeCell ref="G3382:H3382"/>
    <mergeCell ref="E3383:F3383"/>
    <mergeCell ref="B3385:D3385"/>
    <mergeCell ref="B2157:D2157"/>
    <mergeCell ref="B2158:D2158"/>
    <mergeCell ref="B2159:D2159"/>
    <mergeCell ref="B2160:D2160"/>
    <mergeCell ref="B3417:D3417"/>
    <mergeCell ref="E2138:F2138"/>
    <mergeCell ref="G2138:H2138"/>
    <mergeCell ref="E3414:F3414"/>
    <mergeCell ref="G3414:H3414"/>
    <mergeCell ref="E3415:F3415"/>
    <mergeCell ref="G3415:H3415"/>
    <mergeCell ref="E2139:F2139"/>
    <mergeCell ref="G2139:H2139"/>
    <mergeCell ref="B3399:D3399"/>
    <mergeCell ref="B3401:F3401"/>
    <mergeCell ref="E3403:F3403"/>
    <mergeCell ref="G3403:H3403"/>
    <mergeCell ref="E3404:F3404"/>
    <mergeCell ref="G3404:H3404"/>
    <mergeCell ref="E3405:F3405"/>
    <mergeCell ref="G3405:H3405"/>
    <mergeCell ref="B3407:D3407"/>
    <mergeCell ref="B3408:D3408"/>
    <mergeCell ref="B3409:D3409"/>
    <mergeCell ref="B3410:D3410"/>
    <mergeCell ref="E3393:F3393"/>
    <mergeCell ref="G3393:H3393"/>
    <mergeCell ref="E3394:F3394"/>
    <mergeCell ref="G3394:H3394"/>
    <mergeCell ref="B3396:D3396"/>
    <mergeCell ref="B3390:F3390"/>
    <mergeCell ref="E3391:F3391"/>
    <mergeCell ref="G3383:H3383"/>
    <mergeCell ref="B3373:D3373"/>
    <mergeCell ref="E2140:F2140"/>
    <mergeCell ref="G2140:H2140"/>
    <mergeCell ref="B3386:D3386"/>
    <mergeCell ref="B3387:D3387"/>
    <mergeCell ref="B3379:F3379"/>
    <mergeCell ref="E3380:F3380"/>
    <mergeCell ref="G3380:H3380"/>
    <mergeCell ref="B3384:D3384"/>
    <mergeCell ref="B3388:D3388"/>
    <mergeCell ref="E3392:F3392"/>
    <mergeCell ref="G3392:H3392"/>
    <mergeCell ref="B3338:D3338"/>
    <mergeCell ref="B3339:D3339"/>
    <mergeCell ref="B3340:D3340"/>
    <mergeCell ref="B3341:D3341"/>
    <mergeCell ref="E3345:F3345"/>
    <mergeCell ref="G3345:H3345"/>
    <mergeCell ref="E3346:F3346"/>
    <mergeCell ref="G3346:H3346"/>
    <mergeCell ref="E3347:F3347"/>
    <mergeCell ref="G3347:H3347"/>
    <mergeCell ref="E3348:F3348"/>
    <mergeCell ref="G3348:H3348"/>
    <mergeCell ref="E3349:F3349"/>
    <mergeCell ref="G3349:H3349"/>
    <mergeCell ref="B3351:D3351"/>
    <mergeCell ref="B3352:D3352"/>
    <mergeCell ref="B3353:D3353"/>
    <mergeCell ref="G3358:H3358"/>
    <mergeCell ref="E3359:F3359"/>
    <mergeCell ref="G3359:H3359"/>
    <mergeCell ref="E3360:F3360"/>
    <mergeCell ref="G3360:H3360"/>
    <mergeCell ref="B3362:D3362"/>
    <mergeCell ref="E3312:F3312"/>
    <mergeCell ref="G3312:H3312"/>
    <mergeCell ref="E3313:F3313"/>
    <mergeCell ref="G3313:H3313"/>
    <mergeCell ref="E3314:F3314"/>
    <mergeCell ref="G3314:H3314"/>
    <mergeCell ref="B3316:D3316"/>
    <mergeCell ref="B3317:D3317"/>
    <mergeCell ref="B3318:D3318"/>
    <mergeCell ref="B3319:D3319"/>
    <mergeCell ref="E3334:F3334"/>
    <mergeCell ref="G3334:H3334"/>
    <mergeCell ref="E3335:F3335"/>
    <mergeCell ref="G3335:H3335"/>
    <mergeCell ref="E3336:F3336"/>
    <mergeCell ref="G3336:H3336"/>
    <mergeCell ref="B3321:F3321"/>
    <mergeCell ref="E3322:F3322"/>
    <mergeCell ref="G3322:H3322"/>
    <mergeCell ref="E3323:F3323"/>
    <mergeCell ref="G3323:H3323"/>
    <mergeCell ref="E3324:F3324"/>
    <mergeCell ref="G3324:H3324"/>
    <mergeCell ref="E3325:F3325"/>
    <mergeCell ref="G3325:H3325"/>
    <mergeCell ref="B3326:D3326"/>
    <mergeCell ref="B3327:D3327"/>
    <mergeCell ref="B3328:D3328"/>
    <mergeCell ref="B3329:D3329"/>
    <mergeCell ref="B3330:D3330"/>
    <mergeCell ref="B3305:F3305"/>
    <mergeCell ref="E3306:F3306"/>
    <mergeCell ref="G3306:H3306"/>
    <mergeCell ref="E3307:F3307"/>
    <mergeCell ref="G3307:H3307"/>
    <mergeCell ref="E3308:F3308"/>
    <mergeCell ref="G3308:H3308"/>
    <mergeCell ref="E3309:F3309"/>
    <mergeCell ref="G3309:H3309"/>
    <mergeCell ref="E3310:F3310"/>
    <mergeCell ref="G3310:H3310"/>
    <mergeCell ref="E3311:F3311"/>
    <mergeCell ref="G3311:H3311"/>
    <mergeCell ref="B3289:D3289"/>
    <mergeCell ref="B3290:D3290"/>
    <mergeCell ref="B3292:F3292"/>
    <mergeCell ref="E3293:F3293"/>
    <mergeCell ref="G3293:H3293"/>
    <mergeCell ref="E3294:F3294"/>
    <mergeCell ref="G3294:H3294"/>
    <mergeCell ref="E3295:F3295"/>
    <mergeCell ref="G3295:H3295"/>
    <mergeCell ref="E3296:F3296"/>
    <mergeCell ref="G3296:H3296"/>
    <mergeCell ref="E3297:F3297"/>
    <mergeCell ref="G3297:H3297"/>
    <mergeCell ref="E3298:F3298"/>
    <mergeCell ref="G3298:H3298"/>
    <mergeCell ref="B3299:D3299"/>
    <mergeCell ref="B3184:D3184"/>
    <mergeCell ref="B3225:D3225"/>
    <mergeCell ref="B3226:D3226"/>
    <mergeCell ref="B3227:D3227"/>
    <mergeCell ref="B3229:F3229"/>
    <mergeCell ref="E3230:F3230"/>
    <mergeCell ref="G3230:H3230"/>
    <mergeCell ref="B3236:D3236"/>
    <mergeCell ref="E3241:F3241"/>
    <mergeCell ref="G3244:H3244"/>
    <mergeCell ref="B3270:D3270"/>
    <mergeCell ref="E3265:F3265"/>
    <mergeCell ref="G3265:H3265"/>
    <mergeCell ref="E3266:F3266"/>
    <mergeCell ref="G3266:H3266"/>
    <mergeCell ref="B3267:D3267"/>
    <mergeCell ref="B3234:D3234"/>
    <mergeCell ref="E3221:F3221"/>
    <mergeCell ref="G3221:H3221"/>
    <mergeCell ref="E3222:F3222"/>
    <mergeCell ref="B3235:D3235"/>
    <mergeCell ref="B3237:D3237"/>
    <mergeCell ref="E3253:F3253"/>
    <mergeCell ref="G3253:H3253"/>
    <mergeCell ref="E3254:F3254"/>
    <mergeCell ref="G3254:H3254"/>
    <mergeCell ref="G3255:H3255"/>
    <mergeCell ref="B3256:D3256"/>
    <mergeCell ref="B3257:D3257"/>
    <mergeCell ref="B3258:D3258"/>
    <mergeCell ref="B3259:D3259"/>
    <mergeCell ref="B3260:D3260"/>
    <mergeCell ref="B1950:F1950"/>
    <mergeCell ref="B1951:F1951"/>
    <mergeCell ref="E1952:F1952"/>
    <mergeCell ref="G1952:H1952"/>
    <mergeCell ref="E1953:F1953"/>
    <mergeCell ref="G1953:H1953"/>
    <mergeCell ref="E1954:F1954"/>
    <mergeCell ref="G1954:H1954"/>
    <mergeCell ref="B1955:D1955"/>
    <mergeCell ref="B1956:D1956"/>
    <mergeCell ref="B1957:D1957"/>
    <mergeCell ref="B1958:D1958"/>
    <mergeCell ref="B1959:D1959"/>
    <mergeCell ref="B1961:F1961"/>
    <mergeCell ref="E3144:F3144"/>
    <mergeCell ref="G3144:H3144"/>
    <mergeCell ref="B2136:F2136"/>
    <mergeCell ref="B2137:F2137"/>
    <mergeCell ref="E2141:F2141"/>
    <mergeCell ref="G2141:H2141"/>
    <mergeCell ref="B2161:D2161"/>
    <mergeCell ref="B2163:F2163"/>
    <mergeCell ref="E2164:F2164"/>
    <mergeCell ref="G2164:H2164"/>
    <mergeCell ref="E2165:F2165"/>
    <mergeCell ref="G2165:H2165"/>
    <mergeCell ref="E2166:F2166"/>
    <mergeCell ref="G2166:H2166"/>
    <mergeCell ref="E2167:F2167"/>
    <mergeCell ref="G2167:H2167"/>
    <mergeCell ref="E2168:F2168"/>
    <mergeCell ref="G2168:H2168"/>
    <mergeCell ref="B1888:D1888"/>
    <mergeCell ref="B1889:D1889"/>
    <mergeCell ref="B1890:D1890"/>
    <mergeCell ref="B1891:D1891"/>
    <mergeCell ref="B1893:F1893"/>
    <mergeCell ref="E1894:F1894"/>
    <mergeCell ref="G1894:H1894"/>
    <mergeCell ref="E1895:F1895"/>
    <mergeCell ref="G1895:H1895"/>
    <mergeCell ref="E1896:F1896"/>
    <mergeCell ref="G1896:H1896"/>
    <mergeCell ref="B1897:D1897"/>
    <mergeCell ref="B1898:D1898"/>
    <mergeCell ref="B1899:D1899"/>
    <mergeCell ref="B1900:D1900"/>
    <mergeCell ref="B1901:D1901"/>
    <mergeCell ref="B1913:F1913"/>
    <mergeCell ref="B1910:D1910"/>
    <mergeCell ref="B1911:D1911"/>
    <mergeCell ref="B1907:D1907"/>
    <mergeCell ref="B1908:D1908"/>
    <mergeCell ref="B1909:D1909"/>
    <mergeCell ref="E1875:F1875"/>
    <mergeCell ref="G1875:H1875"/>
    <mergeCell ref="E1876:F1876"/>
    <mergeCell ref="G1876:H1876"/>
    <mergeCell ref="B1877:D1877"/>
    <mergeCell ref="B1878:D1878"/>
    <mergeCell ref="B1879:D1879"/>
    <mergeCell ref="B1880:D1880"/>
    <mergeCell ref="B1881:D1881"/>
    <mergeCell ref="B1883:F1883"/>
    <mergeCell ref="E1884:F1884"/>
    <mergeCell ref="G1884:H1884"/>
    <mergeCell ref="E1885:F1885"/>
    <mergeCell ref="G1885:H1885"/>
    <mergeCell ref="E1886:F1886"/>
    <mergeCell ref="G1886:H1886"/>
    <mergeCell ref="B1887:D1887"/>
    <mergeCell ref="B1859:D1859"/>
    <mergeCell ref="B1860:D1860"/>
    <mergeCell ref="B1861:D1861"/>
    <mergeCell ref="B1863:F1863"/>
    <mergeCell ref="E1864:F1864"/>
    <mergeCell ref="G1864:H1864"/>
    <mergeCell ref="E1865:F1865"/>
    <mergeCell ref="G1865:H1865"/>
    <mergeCell ref="B1866:D1866"/>
    <mergeCell ref="B1867:D1867"/>
    <mergeCell ref="B1868:D1868"/>
    <mergeCell ref="B1869:D1869"/>
    <mergeCell ref="B1870:D1870"/>
    <mergeCell ref="C1871:E1871"/>
    <mergeCell ref="F1871:H1871"/>
    <mergeCell ref="B1873:F1873"/>
    <mergeCell ref="E1874:F1874"/>
    <mergeCell ref="G1874:H1874"/>
    <mergeCell ref="B1845:F1845"/>
    <mergeCell ref="E1846:F1846"/>
    <mergeCell ref="G1846:H1846"/>
    <mergeCell ref="E1847:F1847"/>
    <mergeCell ref="G1847:H1847"/>
    <mergeCell ref="E1848:F1848"/>
    <mergeCell ref="G1848:H1848"/>
    <mergeCell ref="B1849:D1849"/>
    <mergeCell ref="B1850:D1850"/>
    <mergeCell ref="B1851:D1851"/>
    <mergeCell ref="B1852:D1852"/>
    <mergeCell ref="B1853:D1853"/>
    <mergeCell ref="B1855:F1855"/>
    <mergeCell ref="E1856:F1856"/>
    <mergeCell ref="G1856:H1856"/>
    <mergeCell ref="B1857:D1857"/>
    <mergeCell ref="B1858:D1858"/>
    <mergeCell ref="E1829:F1829"/>
    <mergeCell ref="G1829:H1829"/>
    <mergeCell ref="B1830:D1830"/>
    <mergeCell ref="B1831:D1831"/>
    <mergeCell ref="B1832:D1832"/>
    <mergeCell ref="B1833:D1833"/>
    <mergeCell ref="B1834:D1834"/>
    <mergeCell ref="B1836:F1836"/>
    <mergeCell ref="E1837:F1837"/>
    <mergeCell ref="G1837:H1837"/>
    <mergeCell ref="E1838:F1838"/>
    <mergeCell ref="G1838:H1838"/>
    <mergeCell ref="B1839:D1839"/>
    <mergeCell ref="B1840:D1840"/>
    <mergeCell ref="B1841:D1841"/>
    <mergeCell ref="B1842:D1842"/>
    <mergeCell ref="B1843:D1843"/>
    <mergeCell ref="E1820:F1820"/>
    <mergeCell ref="G1820:H1820"/>
    <mergeCell ref="E1821:F1821"/>
    <mergeCell ref="G1821:H1821"/>
    <mergeCell ref="E1822:F1822"/>
    <mergeCell ref="G1822:H1822"/>
    <mergeCell ref="E1823:F1823"/>
    <mergeCell ref="G1823:H1823"/>
    <mergeCell ref="E1824:F1824"/>
    <mergeCell ref="G1824:H1824"/>
    <mergeCell ref="E1825:F1825"/>
    <mergeCell ref="G1825:H1825"/>
    <mergeCell ref="E1826:F1826"/>
    <mergeCell ref="G1826:H1826"/>
    <mergeCell ref="E1827:F1827"/>
    <mergeCell ref="G1827:H1827"/>
    <mergeCell ref="E1828:F1828"/>
    <mergeCell ref="G1828:H1828"/>
    <mergeCell ref="B1805:D1805"/>
    <mergeCell ref="B1806:D1806"/>
    <mergeCell ref="B1808:F1808"/>
    <mergeCell ref="E1809:F1809"/>
    <mergeCell ref="G1809:H1809"/>
    <mergeCell ref="E1810:F1810"/>
    <mergeCell ref="G1810:H1810"/>
    <mergeCell ref="E1811:F1811"/>
    <mergeCell ref="G1811:H1811"/>
    <mergeCell ref="B1812:D1812"/>
    <mergeCell ref="B1813:D1813"/>
    <mergeCell ref="B1814:D1814"/>
    <mergeCell ref="B1815:D1815"/>
    <mergeCell ref="B1816:D1816"/>
    <mergeCell ref="B1818:F1818"/>
    <mergeCell ref="E1819:F1819"/>
    <mergeCell ref="G1819:H1819"/>
    <mergeCell ref="E1791:F1791"/>
    <mergeCell ref="G1791:H1791"/>
    <mergeCell ref="B1792:D1792"/>
    <mergeCell ref="B1793:D1793"/>
    <mergeCell ref="B1794:D1794"/>
    <mergeCell ref="B1795:D1795"/>
    <mergeCell ref="B1796:D1796"/>
    <mergeCell ref="B1798:F1798"/>
    <mergeCell ref="E1799:F1799"/>
    <mergeCell ref="G1799:H1799"/>
    <mergeCell ref="E1800:F1800"/>
    <mergeCell ref="G1800:H1800"/>
    <mergeCell ref="E1801:F1801"/>
    <mergeCell ref="G1801:H1801"/>
    <mergeCell ref="B1802:D1802"/>
    <mergeCell ref="B1803:D1803"/>
    <mergeCell ref="B1804:D1804"/>
    <mergeCell ref="B1778:F1778"/>
    <mergeCell ref="E1779:F1779"/>
    <mergeCell ref="G1779:H1779"/>
    <mergeCell ref="E1780:F1780"/>
    <mergeCell ref="G1780:H1780"/>
    <mergeCell ref="E1781:F1781"/>
    <mergeCell ref="G1781:H1781"/>
    <mergeCell ref="B1782:D1782"/>
    <mergeCell ref="B1783:D1783"/>
    <mergeCell ref="B1784:D1784"/>
    <mergeCell ref="B1785:D1785"/>
    <mergeCell ref="B1786:D1786"/>
    <mergeCell ref="B1788:F1788"/>
    <mergeCell ref="E1789:F1789"/>
    <mergeCell ref="G1789:H1789"/>
    <mergeCell ref="E1790:F1790"/>
    <mergeCell ref="G1790:H1790"/>
    <mergeCell ref="B1762:D1762"/>
    <mergeCell ref="B1763:D1763"/>
    <mergeCell ref="B1764:D1764"/>
    <mergeCell ref="B1765:D1765"/>
    <mergeCell ref="B1766:D1766"/>
    <mergeCell ref="B1768:F1768"/>
    <mergeCell ref="E1769:F1769"/>
    <mergeCell ref="G1769:H1769"/>
    <mergeCell ref="E1770:F1770"/>
    <mergeCell ref="G1770:H1770"/>
    <mergeCell ref="E1771:F1771"/>
    <mergeCell ref="G1771:H1771"/>
    <mergeCell ref="B1772:D1772"/>
    <mergeCell ref="B1773:D1773"/>
    <mergeCell ref="B1774:D1774"/>
    <mergeCell ref="B1775:D1775"/>
    <mergeCell ref="B1776:D1776"/>
    <mergeCell ref="G1749:H1749"/>
    <mergeCell ref="E1750:F1750"/>
    <mergeCell ref="G1750:H1750"/>
    <mergeCell ref="E1751:F1751"/>
    <mergeCell ref="G1751:H1751"/>
    <mergeCell ref="B1752:D1752"/>
    <mergeCell ref="B1753:D1753"/>
    <mergeCell ref="B1754:D1754"/>
    <mergeCell ref="B1755:D1755"/>
    <mergeCell ref="B1756:D1756"/>
    <mergeCell ref="B1758:F1758"/>
    <mergeCell ref="E1759:F1759"/>
    <mergeCell ref="G1759:H1759"/>
    <mergeCell ref="E1760:F1760"/>
    <mergeCell ref="G1760:H1760"/>
    <mergeCell ref="E1761:F1761"/>
    <mergeCell ref="G1761:H1761"/>
    <mergeCell ref="B1635:F1635"/>
    <mergeCell ref="E1636:F1636"/>
    <mergeCell ref="G1636:H1636"/>
    <mergeCell ref="E1637:F1637"/>
    <mergeCell ref="G1637:H1637"/>
    <mergeCell ref="E1638:F1638"/>
    <mergeCell ref="G1638:H1638"/>
    <mergeCell ref="B1639:D1639"/>
    <mergeCell ref="B1640:D1640"/>
    <mergeCell ref="B1641:D1641"/>
    <mergeCell ref="B1642:D1642"/>
    <mergeCell ref="B1643:D1643"/>
    <mergeCell ref="B1665:F1665"/>
    <mergeCell ref="E1666:F1666"/>
    <mergeCell ref="B1679:D1679"/>
    <mergeCell ref="B1680:D1680"/>
    <mergeCell ref="E1700:F1700"/>
    <mergeCell ref="E1668:F1668"/>
    <mergeCell ref="B1645:F1645"/>
    <mergeCell ref="E1646:F1646"/>
    <mergeCell ref="G1646:H1646"/>
    <mergeCell ref="E1647:F1647"/>
    <mergeCell ref="G1647:H1647"/>
    <mergeCell ref="E1648:F1648"/>
    <mergeCell ref="G1648:H1648"/>
    <mergeCell ref="B1649:D1649"/>
    <mergeCell ref="B1650:D1650"/>
    <mergeCell ref="B1651:D1651"/>
    <mergeCell ref="B1652:D1652"/>
    <mergeCell ref="B1653:D1653"/>
    <mergeCell ref="B1655:F1655"/>
    <mergeCell ref="E1656:F1656"/>
    <mergeCell ref="E1627:F1627"/>
    <mergeCell ref="G1627:H1627"/>
    <mergeCell ref="E1628:F1628"/>
    <mergeCell ref="G1628:H1628"/>
    <mergeCell ref="E1629:F1629"/>
    <mergeCell ref="G1629:H1629"/>
    <mergeCell ref="B1630:D1630"/>
    <mergeCell ref="B1631:D1631"/>
    <mergeCell ref="B1632:D1632"/>
    <mergeCell ref="B1606:F1606"/>
    <mergeCell ref="E1607:F1607"/>
    <mergeCell ref="G1607:H1607"/>
    <mergeCell ref="E1608:F1608"/>
    <mergeCell ref="G1608:H1608"/>
    <mergeCell ref="E1609:F1609"/>
    <mergeCell ref="G1609:H1609"/>
    <mergeCell ref="B1610:D1610"/>
    <mergeCell ref="B1611:D1611"/>
    <mergeCell ref="B1612:D1612"/>
    <mergeCell ref="B1613:D1613"/>
    <mergeCell ref="B1614:D1614"/>
    <mergeCell ref="B1616:F1616"/>
    <mergeCell ref="E1617:F1617"/>
    <mergeCell ref="G1617:H1617"/>
    <mergeCell ref="E1618:F1618"/>
    <mergeCell ref="G1618:H1618"/>
    <mergeCell ref="B1590:D1590"/>
    <mergeCell ref="B1591:D1591"/>
    <mergeCell ref="B1592:D1592"/>
    <mergeCell ref="B1593:D1593"/>
    <mergeCell ref="B1594:D1594"/>
    <mergeCell ref="B1596:F1596"/>
    <mergeCell ref="E1597:F1597"/>
    <mergeCell ref="G1597:H1597"/>
    <mergeCell ref="E1598:F1598"/>
    <mergeCell ref="G1598:H1598"/>
    <mergeCell ref="E1599:F1599"/>
    <mergeCell ref="G1599:H1599"/>
    <mergeCell ref="B1600:D1600"/>
    <mergeCell ref="B1601:D1601"/>
    <mergeCell ref="B1602:D1602"/>
    <mergeCell ref="B1603:D1603"/>
    <mergeCell ref="B1604:D1604"/>
    <mergeCell ref="E1577:F1577"/>
    <mergeCell ref="G1577:H1577"/>
    <mergeCell ref="E1578:F1578"/>
    <mergeCell ref="G1578:H1578"/>
    <mergeCell ref="E1579:F1579"/>
    <mergeCell ref="G1579:H1579"/>
    <mergeCell ref="B1580:D1580"/>
    <mergeCell ref="B1581:D1581"/>
    <mergeCell ref="B1582:D1582"/>
    <mergeCell ref="B1583:D1583"/>
    <mergeCell ref="B1584:D1584"/>
    <mergeCell ref="B1586:F1586"/>
    <mergeCell ref="E1587:F1587"/>
    <mergeCell ref="G1587:H1587"/>
    <mergeCell ref="E1588:F1588"/>
    <mergeCell ref="G1588:H1588"/>
    <mergeCell ref="E1589:F1589"/>
    <mergeCell ref="G1589:H1589"/>
    <mergeCell ref="B1562:D1562"/>
    <mergeCell ref="B1563:D1563"/>
    <mergeCell ref="B1565:F1565"/>
    <mergeCell ref="E1566:F1566"/>
    <mergeCell ref="G1566:H1566"/>
    <mergeCell ref="E1567:F1567"/>
    <mergeCell ref="G1567:H1567"/>
    <mergeCell ref="E1568:F1568"/>
    <mergeCell ref="G1568:H1568"/>
    <mergeCell ref="E1569:F1569"/>
    <mergeCell ref="G1569:H1569"/>
    <mergeCell ref="B1570:D1570"/>
    <mergeCell ref="B1571:D1571"/>
    <mergeCell ref="B1572:D1572"/>
    <mergeCell ref="B1573:D1573"/>
    <mergeCell ref="B1574:D1574"/>
    <mergeCell ref="B1576:F1576"/>
    <mergeCell ref="E1548:F1548"/>
    <mergeCell ref="G1548:H1548"/>
    <mergeCell ref="B1549:D1549"/>
    <mergeCell ref="B1550:D1550"/>
    <mergeCell ref="B1551:D1551"/>
    <mergeCell ref="B1552:D1552"/>
    <mergeCell ref="B1553:D1553"/>
    <mergeCell ref="B1555:F1555"/>
    <mergeCell ref="E1556:F1556"/>
    <mergeCell ref="G1556:H1556"/>
    <mergeCell ref="E1557:F1557"/>
    <mergeCell ref="G1557:H1557"/>
    <mergeCell ref="E1558:F1558"/>
    <mergeCell ref="G1558:H1558"/>
    <mergeCell ref="B1559:D1559"/>
    <mergeCell ref="B1560:D1560"/>
    <mergeCell ref="B1561:D1561"/>
    <mergeCell ref="B1535:F1535"/>
    <mergeCell ref="E1536:F1536"/>
    <mergeCell ref="G1536:H1536"/>
    <mergeCell ref="E1537:F1537"/>
    <mergeCell ref="G1537:H1537"/>
    <mergeCell ref="E1538:F1538"/>
    <mergeCell ref="G1538:H1538"/>
    <mergeCell ref="B1539:D1539"/>
    <mergeCell ref="B1540:D1540"/>
    <mergeCell ref="B1541:D1541"/>
    <mergeCell ref="B1542:D1542"/>
    <mergeCell ref="B1543:D1543"/>
    <mergeCell ref="B1545:F1545"/>
    <mergeCell ref="E1546:F1546"/>
    <mergeCell ref="G1546:H1546"/>
    <mergeCell ref="E1547:F1547"/>
    <mergeCell ref="G1547:H1547"/>
    <mergeCell ref="B1519:D1519"/>
    <mergeCell ref="B1520:D1520"/>
    <mergeCell ref="B1521:D1521"/>
    <mergeCell ref="B1522:D1522"/>
    <mergeCell ref="B1523:D1523"/>
    <mergeCell ref="B1525:F1525"/>
    <mergeCell ref="E1526:F1526"/>
    <mergeCell ref="G1526:H1526"/>
    <mergeCell ref="E1527:F1527"/>
    <mergeCell ref="G1527:H1527"/>
    <mergeCell ref="E1528:F1528"/>
    <mergeCell ref="G1528:H1528"/>
    <mergeCell ref="B1529:D1529"/>
    <mergeCell ref="B1530:D1530"/>
    <mergeCell ref="B1531:D1531"/>
    <mergeCell ref="B1532:D1532"/>
    <mergeCell ref="B1533:D1533"/>
    <mergeCell ref="E1506:F1506"/>
    <mergeCell ref="G1506:H1506"/>
    <mergeCell ref="E1507:F1507"/>
    <mergeCell ref="G1507:H1507"/>
    <mergeCell ref="E1508:F1508"/>
    <mergeCell ref="G1508:H1508"/>
    <mergeCell ref="B1509:D1509"/>
    <mergeCell ref="B1510:D1510"/>
    <mergeCell ref="B1511:D1511"/>
    <mergeCell ref="B1512:D1512"/>
    <mergeCell ref="B1513:D1513"/>
    <mergeCell ref="B1515:F1515"/>
    <mergeCell ref="E1516:F1516"/>
    <mergeCell ref="G1516:H1516"/>
    <mergeCell ref="E1517:F1517"/>
    <mergeCell ref="G1517:H1517"/>
    <mergeCell ref="E1518:F1518"/>
    <mergeCell ref="G1518:H1518"/>
    <mergeCell ref="B1491:D1491"/>
    <mergeCell ref="B1492:D1492"/>
    <mergeCell ref="B1494:F1494"/>
    <mergeCell ref="E1495:F1495"/>
    <mergeCell ref="G1495:H1495"/>
    <mergeCell ref="E1496:F1496"/>
    <mergeCell ref="G1496:H1496"/>
    <mergeCell ref="E1497:F1497"/>
    <mergeCell ref="G1497:H1497"/>
    <mergeCell ref="E1498:F1498"/>
    <mergeCell ref="G1498:H1498"/>
    <mergeCell ref="B1499:D1499"/>
    <mergeCell ref="B1500:D1500"/>
    <mergeCell ref="B1501:D1501"/>
    <mergeCell ref="B1502:D1502"/>
    <mergeCell ref="B1503:D1503"/>
    <mergeCell ref="B1505:F1505"/>
    <mergeCell ref="E1477:F1477"/>
    <mergeCell ref="G1477:H1477"/>
    <mergeCell ref="B1478:D1478"/>
    <mergeCell ref="B1479:D1479"/>
    <mergeCell ref="B1480:D1480"/>
    <mergeCell ref="B1481:D1481"/>
    <mergeCell ref="B1482:D1482"/>
    <mergeCell ref="B1484:F1484"/>
    <mergeCell ref="E1485:F1485"/>
    <mergeCell ref="G1485:H1485"/>
    <mergeCell ref="E1486:F1486"/>
    <mergeCell ref="G1486:H1486"/>
    <mergeCell ref="E1487:F1487"/>
    <mergeCell ref="G1487:H1487"/>
    <mergeCell ref="B1488:D1488"/>
    <mergeCell ref="B1489:D1489"/>
    <mergeCell ref="B1490:D1490"/>
    <mergeCell ref="B1474:F1474"/>
    <mergeCell ref="E1475:F1475"/>
    <mergeCell ref="G1475:H1475"/>
    <mergeCell ref="B1410:F1410"/>
    <mergeCell ref="E1411:F1411"/>
    <mergeCell ref="G1411:H1411"/>
    <mergeCell ref="E1412:F1412"/>
    <mergeCell ref="G1412:H1412"/>
    <mergeCell ref="B1413:D1413"/>
    <mergeCell ref="B1414:D1414"/>
    <mergeCell ref="B1415:D1415"/>
    <mergeCell ref="B1416:D1416"/>
    <mergeCell ref="B1417:D1417"/>
    <mergeCell ref="B1419:F1419"/>
    <mergeCell ref="E1420:F1420"/>
    <mergeCell ref="G1420:H1420"/>
    <mergeCell ref="E1476:F1476"/>
    <mergeCell ref="G1476:H1476"/>
    <mergeCell ref="B1464:F1464"/>
    <mergeCell ref="E1465:F1465"/>
    <mergeCell ref="G1465:H1465"/>
    <mergeCell ref="E1466:F1466"/>
    <mergeCell ref="G1466:H1466"/>
    <mergeCell ref="E1467:F1467"/>
    <mergeCell ref="G1467:H1467"/>
    <mergeCell ref="B1468:D1468"/>
    <mergeCell ref="B1469:D1469"/>
    <mergeCell ref="B1470:D1470"/>
    <mergeCell ref="B1471:D1471"/>
    <mergeCell ref="B1472:D1472"/>
    <mergeCell ref="E1421:F1421"/>
    <mergeCell ref="G1421:H1421"/>
    <mergeCell ref="B1399:D1399"/>
    <mergeCell ref="G1402:H1402"/>
    <mergeCell ref="B1375:D1375"/>
    <mergeCell ref="B1376:D1376"/>
    <mergeCell ref="B1377:D1377"/>
    <mergeCell ref="B1378:D1378"/>
    <mergeCell ref="B1379:D1379"/>
    <mergeCell ref="B1381:F1381"/>
    <mergeCell ref="E1382:F1382"/>
    <mergeCell ref="G1382:H1382"/>
    <mergeCell ref="E1383:F1383"/>
    <mergeCell ref="G1383:H1383"/>
    <mergeCell ref="E1384:F1384"/>
    <mergeCell ref="G1384:H1384"/>
    <mergeCell ref="B1385:D1385"/>
    <mergeCell ref="B1386:D1386"/>
    <mergeCell ref="B1387:D1387"/>
    <mergeCell ref="B1388:D1388"/>
    <mergeCell ref="B1389:D1389"/>
    <mergeCell ref="B1371:F1371"/>
    <mergeCell ref="E1372:F1372"/>
    <mergeCell ref="G1372:H1372"/>
    <mergeCell ref="E1373:F1373"/>
    <mergeCell ref="G1373:H1373"/>
    <mergeCell ref="E1374:F1374"/>
    <mergeCell ref="G1374:H1374"/>
    <mergeCell ref="E1392:F1392"/>
    <mergeCell ref="G1392:H1392"/>
    <mergeCell ref="E1393:F1393"/>
    <mergeCell ref="G1393:H1393"/>
    <mergeCell ref="E1394:F1394"/>
    <mergeCell ref="G1394:H1394"/>
    <mergeCell ref="B1395:D1395"/>
    <mergeCell ref="B1396:D1396"/>
    <mergeCell ref="B1397:D1397"/>
    <mergeCell ref="B1398:D1398"/>
    <mergeCell ref="B1345:D1345"/>
    <mergeCell ref="B1346:D1346"/>
    <mergeCell ref="B1347:D1347"/>
    <mergeCell ref="B1348:D1348"/>
    <mergeCell ref="B1361:F1361"/>
    <mergeCell ref="E1362:F1362"/>
    <mergeCell ref="G1362:H1362"/>
    <mergeCell ref="E1363:F1363"/>
    <mergeCell ref="G1363:H1363"/>
    <mergeCell ref="E1364:F1364"/>
    <mergeCell ref="G1364:H1364"/>
    <mergeCell ref="B1365:D1365"/>
    <mergeCell ref="B1366:D1366"/>
    <mergeCell ref="B1367:D1367"/>
    <mergeCell ref="B1368:D1368"/>
    <mergeCell ref="B1369:D1369"/>
    <mergeCell ref="B1350:F1350"/>
    <mergeCell ref="E1351:F1351"/>
    <mergeCell ref="G1351:H1351"/>
    <mergeCell ref="E1352:F1352"/>
    <mergeCell ref="G1352:H1352"/>
    <mergeCell ref="E1353:F1353"/>
    <mergeCell ref="G1353:H1353"/>
    <mergeCell ref="E1354:F1354"/>
    <mergeCell ref="G1354:H1354"/>
    <mergeCell ref="B1355:D1355"/>
    <mergeCell ref="B1356:D1356"/>
    <mergeCell ref="B1357:D1357"/>
    <mergeCell ref="B1358:D1358"/>
    <mergeCell ref="B1359:D1359"/>
    <mergeCell ref="B1339:F1339"/>
    <mergeCell ref="E1340:F1340"/>
    <mergeCell ref="G1340:H1340"/>
    <mergeCell ref="E1341:F1341"/>
    <mergeCell ref="G1341:H1341"/>
    <mergeCell ref="E1342:F1342"/>
    <mergeCell ref="G1342:H1342"/>
    <mergeCell ref="E1343:F1343"/>
    <mergeCell ref="G1343:H1343"/>
    <mergeCell ref="E1332:F1332"/>
    <mergeCell ref="G1332:H1332"/>
    <mergeCell ref="B1333:D1333"/>
    <mergeCell ref="B1334:D1334"/>
    <mergeCell ref="B1335:D1335"/>
    <mergeCell ref="B1336:D1336"/>
    <mergeCell ref="B1337:D1337"/>
    <mergeCell ref="B1344:D1344"/>
    <mergeCell ref="E1274:F1274"/>
    <mergeCell ref="G1274:H1274"/>
    <mergeCell ref="E1277:F1277"/>
    <mergeCell ref="G1277:H1277"/>
    <mergeCell ref="G1275:H1275"/>
    <mergeCell ref="E1276:F1276"/>
    <mergeCell ref="G1276:H1276"/>
    <mergeCell ref="E1275:F1275"/>
    <mergeCell ref="B1278:D1278"/>
    <mergeCell ref="B1279:D1279"/>
    <mergeCell ref="B1280:D1280"/>
    <mergeCell ref="B1281:D1281"/>
    <mergeCell ref="B1282:D1282"/>
    <mergeCell ref="B1317:F1317"/>
    <mergeCell ref="E1318:F1318"/>
    <mergeCell ref="G1318:H1318"/>
    <mergeCell ref="E1319:F1319"/>
    <mergeCell ref="G1319:H1319"/>
    <mergeCell ref="B1284:F1284"/>
    <mergeCell ref="E1285:F1285"/>
    <mergeCell ref="G1285:H1285"/>
    <mergeCell ref="E1286:F1286"/>
    <mergeCell ref="G1286:H1286"/>
    <mergeCell ref="E1287:F1287"/>
    <mergeCell ref="G1287:H1287"/>
    <mergeCell ref="E1288:F1288"/>
    <mergeCell ref="G1288:H1288"/>
    <mergeCell ref="B1289:D1289"/>
    <mergeCell ref="B1290:D1290"/>
    <mergeCell ref="B1291:D1291"/>
    <mergeCell ref="B1292:D1292"/>
    <mergeCell ref="B1293:D1293"/>
    <mergeCell ref="E1185:F1185"/>
    <mergeCell ref="G1185:H1185"/>
    <mergeCell ref="E1186:F1186"/>
    <mergeCell ref="G1186:H1186"/>
    <mergeCell ref="E1187:F1187"/>
    <mergeCell ref="B1191:D1191"/>
    <mergeCell ref="B1192:D1192"/>
    <mergeCell ref="E1239:F1239"/>
    <mergeCell ref="G1239:H1239"/>
    <mergeCell ref="B1057:D1057"/>
    <mergeCell ref="B1058:D1058"/>
    <mergeCell ref="B1059:D1059"/>
    <mergeCell ref="G1174:H1174"/>
    <mergeCell ref="E1175:F1175"/>
    <mergeCell ref="B1257:D1257"/>
    <mergeCell ref="B1258:D1258"/>
    <mergeCell ref="B1259:D1259"/>
    <mergeCell ref="G1175:H1175"/>
    <mergeCell ref="E1176:F1176"/>
    <mergeCell ref="G1176:H1176"/>
    <mergeCell ref="G1241:H1241"/>
    <mergeCell ref="E1242:F1242"/>
    <mergeCell ref="G1242:H1242"/>
    <mergeCell ref="E1243:F1243"/>
    <mergeCell ref="G1243:H1243"/>
    <mergeCell ref="E1244:F1244"/>
    <mergeCell ref="G1244:H1244"/>
    <mergeCell ref="B1245:D1245"/>
    <mergeCell ref="B1075:F1075"/>
    <mergeCell ref="E1076:F1076"/>
    <mergeCell ref="G1076:H1076"/>
    <mergeCell ref="E1065:F1065"/>
    <mergeCell ref="E1129:F1129"/>
    <mergeCell ref="G1129:H1129"/>
    <mergeCell ref="E1130:F1130"/>
    <mergeCell ref="G1130:H1130"/>
    <mergeCell ref="B670:F670"/>
    <mergeCell ref="E671:F671"/>
    <mergeCell ref="G671:H671"/>
    <mergeCell ref="E672:F672"/>
    <mergeCell ref="G672:H672"/>
    <mergeCell ref="E673:F673"/>
    <mergeCell ref="G673:H673"/>
    <mergeCell ref="E674:F674"/>
    <mergeCell ref="G674:H674"/>
    <mergeCell ref="B675:D675"/>
    <mergeCell ref="B676:D676"/>
    <mergeCell ref="B677:D677"/>
    <mergeCell ref="B678:D678"/>
    <mergeCell ref="B679:D679"/>
    <mergeCell ref="B681:F681"/>
    <mergeCell ref="B682:F682"/>
    <mergeCell ref="E683:F683"/>
    <mergeCell ref="G683:H683"/>
    <mergeCell ref="E687:F687"/>
    <mergeCell ref="G687:H687"/>
    <mergeCell ref="B699:D699"/>
    <mergeCell ref="B700:D700"/>
    <mergeCell ref="G1031:H1031"/>
    <mergeCell ref="E1032:F1032"/>
    <mergeCell ref="G1032:H1032"/>
    <mergeCell ref="B1099:F1099"/>
    <mergeCell ref="E1100:F1100"/>
    <mergeCell ref="G1100:H1100"/>
    <mergeCell ref="B1127:F1127"/>
    <mergeCell ref="E1128:F1128"/>
    <mergeCell ref="B1247:D1247"/>
    <mergeCell ref="B1248:D1248"/>
    <mergeCell ref="G1229:H1229"/>
    <mergeCell ref="G1067:H1067"/>
    <mergeCell ref="E1068:F1068"/>
    <mergeCell ref="E1079:F1079"/>
    <mergeCell ref="G1079:H1079"/>
    <mergeCell ref="E1080:F1080"/>
    <mergeCell ref="G1080:H1080"/>
    <mergeCell ref="B1144:D1144"/>
    <mergeCell ref="B1145:D1145"/>
    <mergeCell ref="B1147:F1147"/>
    <mergeCell ref="E1148:F1148"/>
    <mergeCell ref="B1156:D1156"/>
    <mergeCell ref="E1230:F1230"/>
    <mergeCell ref="G1230:H1230"/>
    <mergeCell ref="E1231:F1231"/>
    <mergeCell ref="G1231:H1231"/>
    <mergeCell ref="G1068:H1068"/>
    <mergeCell ref="B1133:D1133"/>
    <mergeCell ref="G1128:H1128"/>
    <mergeCell ref="B1215:D1215"/>
    <mergeCell ref="B1216:D1216"/>
    <mergeCell ref="B1141:D1141"/>
    <mergeCell ref="B1142:D1142"/>
    <mergeCell ref="B1143:D1143"/>
    <mergeCell ref="B1190:D1190"/>
    <mergeCell ref="B1124:D1124"/>
    <mergeCell ref="B1125:D1125"/>
    <mergeCell ref="B1088:F1088"/>
    <mergeCell ref="B1049:D1049"/>
    <mergeCell ref="E1063:F1063"/>
    <mergeCell ref="G1063:H1063"/>
    <mergeCell ref="G1044:H1044"/>
    <mergeCell ref="B1029:F1029"/>
    <mergeCell ref="E921:F921"/>
    <mergeCell ref="G921:H921"/>
    <mergeCell ref="E946:F946"/>
    <mergeCell ref="G946:H946"/>
    <mergeCell ref="B941:D941"/>
    <mergeCell ref="B942:D942"/>
    <mergeCell ref="E910:F910"/>
    <mergeCell ref="G910:H910"/>
    <mergeCell ref="G887:H887"/>
    <mergeCell ref="B888:D888"/>
    <mergeCell ref="B889:D889"/>
    <mergeCell ref="E920:F920"/>
    <mergeCell ref="B931:F931"/>
    <mergeCell ref="B929:D929"/>
    <mergeCell ref="B1013:D1013"/>
    <mergeCell ref="B1014:D1014"/>
    <mergeCell ref="G947:H947"/>
    <mergeCell ref="E922:F922"/>
    <mergeCell ref="B899:D899"/>
    <mergeCell ref="B900:D900"/>
    <mergeCell ref="B901:D901"/>
    <mergeCell ref="B902:D902"/>
    <mergeCell ref="G982:H982"/>
    <mergeCell ref="E983:F983"/>
    <mergeCell ref="G983:H983"/>
    <mergeCell ref="B984:D984"/>
    <mergeCell ref="B985:D985"/>
    <mergeCell ref="B1131:D1131"/>
    <mergeCell ref="B1132:D1132"/>
    <mergeCell ref="B701:D701"/>
    <mergeCell ref="B702:D702"/>
    <mergeCell ref="B703:D703"/>
    <mergeCell ref="B705:F705"/>
    <mergeCell ref="E706:F706"/>
    <mergeCell ref="G706:H706"/>
    <mergeCell ref="E707:F707"/>
    <mergeCell ref="G707:H707"/>
    <mergeCell ref="E708:F708"/>
    <mergeCell ref="G708:H708"/>
    <mergeCell ref="E709:F709"/>
    <mergeCell ref="G709:H709"/>
    <mergeCell ref="B710:D710"/>
    <mergeCell ref="B711:D711"/>
    <mergeCell ref="E1064:F1064"/>
    <mergeCell ref="B1060:D1060"/>
    <mergeCell ref="B1062:F1062"/>
    <mergeCell ref="G1077:H1077"/>
    <mergeCell ref="E1078:F1078"/>
    <mergeCell ref="B1037:D1037"/>
    <mergeCell ref="B1024:D1024"/>
    <mergeCell ref="E1009:F1009"/>
    <mergeCell ref="G1009:H1009"/>
    <mergeCell ref="B1010:D1010"/>
    <mergeCell ref="E1081:F1081"/>
    <mergeCell ref="G1081:H1081"/>
    <mergeCell ref="E908:F908"/>
    <mergeCell ref="G908:H908"/>
    <mergeCell ref="B918:F918"/>
    <mergeCell ref="E919:F919"/>
    <mergeCell ref="B1041:F1041"/>
    <mergeCell ref="G1021:H1021"/>
    <mergeCell ref="E1022:F1022"/>
    <mergeCell ref="G1022:H1022"/>
    <mergeCell ref="B1023:D1023"/>
    <mergeCell ref="B944:F944"/>
    <mergeCell ref="E945:F945"/>
    <mergeCell ref="G919:H919"/>
    <mergeCell ref="B940:D940"/>
    <mergeCell ref="B722:D722"/>
    <mergeCell ref="B664:D664"/>
    <mergeCell ref="B665:D665"/>
    <mergeCell ref="B666:D666"/>
    <mergeCell ref="B667:D667"/>
    <mergeCell ref="B668:D668"/>
    <mergeCell ref="E638:F638"/>
    <mergeCell ref="E886:F886"/>
    <mergeCell ref="G886:H886"/>
    <mergeCell ref="B776:D776"/>
    <mergeCell ref="G638:H638"/>
    <mergeCell ref="E639:F639"/>
    <mergeCell ref="G639:H639"/>
    <mergeCell ref="B640:D640"/>
    <mergeCell ref="G659:H659"/>
    <mergeCell ref="G649:H649"/>
    <mergeCell ref="E650:F650"/>
    <mergeCell ref="B735:F735"/>
    <mergeCell ref="B653:D653"/>
    <mergeCell ref="B654:D654"/>
    <mergeCell ref="B655:D655"/>
    <mergeCell ref="B657:F657"/>
    <mergeCell ref="E658:F658"/>
    <mergeCell ref="G698:H698"/>
    <mergeCell ref="E1021:F1021"/>
    <mergeCell ref="G650:H650"/>
    <mergeCell ref="B643:D643"/>
    <mergeCell ref="B644:D644"/>
    <mergeCell ref="B646:F646"/>
    <mergeCell ref="E647:F647"/>
    <mergeCell ref="G647:H647"/>
    <mergeCell ref="E648:F648"/>
    <mergeCell ref="B712:D712"/>
    <mergeCell ref="B713:D713"/>
    <mergeCell ref="B714:D714"/>
    <mergeCell ref="B716:F716"/>
    <mergeCell ref="E717:F717"/>
    <mergeCell ref="G717:H717"/>
    <mergeCell ref="E718:F718"/>
    <mergeCell ref="G718:H718"/>
    <mergeCell ref="G795:H795"/>
    <mergeCell ref="E796:F796"/>
    <mergeCell ref="G796:H796"/>
    <mergeCell ref="E797:F797"/>
    <mergeCell ref="G797:H797"/>
    <mergeCell ref="E798:F798"/>
    <mergeCell ref="E863:F863"/>
    <mergeCell ref="G863:H863"/>
    <mergeCell ref="E864:F864"/>
    <mergeCell ref="B692:D692"/>
    <mergeCell ref="B693:D693"/>
    <mergeCell ref="B695:F695"/>
    <mergeCell ref="E696:F696"/>
    <mergeCell ref="G696:H696"/>
    <mergeCell ref="G658:H658"/>
    <mergeCell ref="E659:F659"/>
    <mergeCell ref="E605:F605"/>
    <mergeCell ref="G605:H605"/>
    <mergeCell ref="G614:H614"/>
    <mergeCell ref="B607:D607"/>
    <mergeCell ref="B608:D608"/>
    <mergeCell ref="B609:D609"/>
    <mergeCell ref="B610:D610"/>
    <mergeCell ref="B612:F612"/>
    <mergeCell ref="E613:F613"/>
    <mergeCell ref="G613:H613"/>
    <mergeCell ref="E614:F614"/>
    <mergeCell ref="B632:D632"/>
    <mergeCell ref="B634:F634"/>
    <mergeCell ref="E635:F635"/>
    <mergeCell ref="G635:H635"/>
    <mergeCell ref="B629:D629"/>
    <mergeCell ref="B622:F622"/>
    <mergeCell ref="B623:F623"/>
    <mergeCell ref="E624:F624"/>
    <mergeCell ref="G624:H624"/>
    <mergeCell ref="E625:F625"/>
    <mergeCell ref="G625:H625"/>
    <mergeCell ref="E626:F626"/>
    <mergeCell ref="G626:H626"/>
    <mergeCell ref="E627:F627"/>
    <mergeCell ref="G627:H627"/>
    <mergeCell ref="G648:H648"/>
    <mergeCell ref="E649:F649"/>
    <mergeCell ref="B628:D628"/>
    <mergeCell ref="B651:D651"/>
    <mergeCell ref="B652:D652"/>
    <mergeCell ref="B630:D630"/>
    <mergeCell ref="B631:D631"/>
    <mergeCell ref="B641:D641"/>
    <mergeCell ref="B642:D642"/>
    <mergeCell ref="E636:F636"/>
    <mergeCell ref="G636:H636"/>
    <mergeCell ref="E637:F637"/>
    <mergeCell ref="G637:H637"/>
    <mergeCell ref="B480:D480"/>
    <mergeCell ref="B504:D504"/>
    <mergeCell ref="B505:D505"/>
    <mergeCell ref="B506:D506"/>
    <mergeCell ref="B507:D507"/>
    <mergeCell ref="B508:D508"/>
    <mergeCell ref="E503:F503"/>
    <mergeCell ref="G503:H503"/>
    <mergeCell ref="E500:F500"/>
    <mergeCell ref="E502:F502"/>
    <mergeCell ref="G501:H501"/>
    <mergeCell ref="G599:H599"/>
    <mergeCell ref="E600:F600"/>
    <mergeCell ref="G600:H600"/>
    <mergeCell ref="G486:H486"/>
    <mergeCell ref="G487:H487"/>
    <mergeCell ref="G488:H488"/>
    <mergeCell ref="G489:H489"/>
    <mergeCell ref="B571:D571"/>
    <mergeCell ref="B497:D497"/>
    <mergeCell ref="B499:F499"/>
    <mergeCell ref="B521:F521"/>
    <mergeCell ref="B619:D619"/>
    <mergeCell ref="B620:D620"/>
    <mergeCell ref="G602:H602"/>
    <mergeCell ref="E603:F603"/>
    <mergeCell ref="G603:H603"/>
    <mergeCell ref="B565:F565"/>
    <mergeCell ref="E566:F566"/>
    <mergeCell ref="G566:H566"/>
    <mergeCell ref="B526:D526"/>
    <mergeCell ref="B527:D527"/>
    <mergeCell ref="B528:D528"/>
    <mergeCell ref="E524:F524"/>
    <mergeCell ref="G524:H524"/>
    <mergeCell ref="B598:F598"/>
    <mergeCell ref="E599:F599"/>
    <mergeCell ref="B538:D538"/>
    <mergeCell ref="B539:D539"/>
    <mergeCell ref="B540:D540"/>
    <mergeCell ref="B541:D541"/>
    <mergeCell ref="B543:F543"/>
    <mergeCell ref="E544:F544"/>
    <mergeCell ref="G544:H544"/>
    <mergeCell ref="E545:F545"/>
    <mergeCell ref="G545:H545"/>
    <mergeCell ref="B583:D583"/>
    <mergeCell ref="E546:F546"/>
    <mergeCell ref="G546:H546"/>
    <mergeCell ref="E547:F547"/>
    <mergeCell ref="G547:H547"/>
    <mergeCell ref="B548:D548"/>
    <mergeCell ref="B549:D549"/>
    <mergeCell ref="B550:D550"/>
    <mergeCell ref="B551:D551"/>
    <mergeCell ref="B552:D552"/>
    <mergeCell ref="G449:H449"/>
    <mergeCell ref="E458:F458"/>
    <mergeCell ref="G390:H390"/>
    <mergeCell ref="G392:H392"/>
    <mergeCell ref="E393:F393"/>
    <mergeCell ref="G393:H393"/>
    <mergeCell ref="E446:F446"/>
    <mergeCell ref="G446:H446"/>
    <mergeCell ref="B463:D463"/>
    <mergeCell ref="E391:F391"/>
    <mergeCell ref="G381:H381"/>
    <mergeCell ref="G445:H445"/>
    <mergeCell ref="B433:F433"/>
    <mergeCell ref="B453:D453"/>
    <mergeCell ref="G368:H368"/>
    <mergeCell ref="E369:F369"/>
    <mergeCell ref="G369:H369"/>
    <mergeCell ref="E434:F434"/>
    <mergeCell ref="G434:H434"/>
    <mergeCell ref="B460:D460"/>
    <mergeCell ref="G459:H459"/>
    <mergeCell ref="B406:D406"/>
    <mergeCell ref="B405:D405"/>
    <mergeCell ref="E404:F404"/>
    <mergeCell ref="G404:H404"/>
    <mergeCell ref="B205:D205"/>
    <mergeCell ref="B233:D233"/>
    <mergeCell ref="B217:D217"/>
    <mergeCell ref="B219:F219"/>
    <mergeCell ref="E220:F220"/>
    <mergeCell ref="B228:F228"/>
    <mergeCell ref="E229:F229"/>
    <mergeCell ref="B227:F227"/>
    <mergeCell ref="B236:F236"/>
    <mergeCell ref="E237:F237"/>
    <mergeCell ref="B245:F245"/>
    <mergeCell ref="E238:F238"/>
    <mergeCell ref="B258:D258"/>
    <mergeCell ref="B259:D259"/>
    <mergeCell ref="B260:D260"/>
    <mergeCell ref="B266:D266"/>
    <mergeCell ref="E209:F209"/>
    <mergeCell ref="B190:F190"/>
    <mergeCell ref="B234:D234"/>
    <mergeCell ref="E191:F191"/>
    <mergeCell ref="B201:D201"/>
    <mergeCell ref="B202:D202"/>
    <mergeCell ref="B225:D225"/>
    <mergeCell ref="G435:H435"/>
    <mergeCell ref="E436:F436"/>
    <mergeCell ref="G436:H436"/>
    <mergeCell ref="B437:D437"/>
    <mergeCell ref="E370:F370"/>
    <mergeCell ref="G370:H370"/>
    <mergeCell ref="E371:F371"/>
    <mergeCell ref="G371:H371"/>
    <mergeCell ref="B372:D372"/>
    <mergeCell ref="B373:D373"/>
    <mergeCell ref="B376:D376"/>
    <mergeCell ref="E380:F380"/>
    <mergeCell ref="E381:F381"/>
    <mergeCell ref="B389:F389"/>
    <mergeCell ref="E390:F390"/>
    <mergeCell ref="B246:F246"/>
    <mergeCell ref="E247:F247"/>
    <mergeCell ref="B252:D252"/>
    <mergeCell ref="B360:D360"/>
    <mergeCell ref="E199:F199"/>
    <mergeCell ref="B203:D203"/>
    <mergeCell ref="B262:F262"/>
    <mergeCell ref="E263:F263"/>
    <mergeCell ref="E210:F210"/>
    <mergeCell ref="B300:F300"/>
    <mergeCell ref="B204:D204"/>
    <mergeCell ref="B131:F131"/>
    <mergeCell ref="B143:D143"/>
    <mergeCell ref="B144:D144"/>
    <mergeCell ref="B145:D145"/>
    <mergeCell ref="G159:H159"/>
    <mergeCell ref="E132:F132"/>
    <mergeCell ref="G132:H132"/>
    <mergeCell ref="E133:F133"/>
    <mergeCell ref="G133:H133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E139:F139"/>
    <mergeCell ref="G139:H139"/>
    <mergeCell ref="E140:F140"/>
    <mergeCell ref="G140:H140"/>
    <mergeCell ref="E141:F141"/>
    <mergeCell ref="G141:H141"/>
    <mergeCell ref="E142:F142"/>
    <mergeCell ref="G142:H142"/>
    <mergeCell ref="B156:D156"/>
    <mergeCell ref="B160:D160"/>
    <mergeCell ref="B161:D161"/>
    <mergeCell ref="B162:D162"/>
    <mergeCell ref="B163:D163"/>
    <mergeCell ref="B164:D164"/>
    <mergeCell ref="B187:D187"/>
    <mergeCell ref="B188:D188"/>
    <mergeCell ref="B192:D192"/>
    <mergeCell ref="B193:D193"/>
    <mergeCell ref="E200:F200"/>
    <mergeCell ref="E151:F151"/>
    <mergeCell ref="G151:H151"/>
    <mergeCell ref="E119:F119"/>
    <mergeCell ref="G119:H119"/>
    <mergeCell ref="E120:F120"/>
    <mergeCell ref="G120:H120"/>
    <mergeCell ref="E121:F121"/>
    <mergeCell ref="G121:H121"/>
    <mergeCell ref="E123:F123"/>
    <mergeCell ref="G123:H123"/>
    <mergeCell ref="E124:F124"/>
    <mergeCell ref="G124:H124"/>
    <mergeCell ref="B125:D125"/>
    <mergeCell ref="B126:D126"/>
    <mergeCell ref="B127:D127"/>
    <mergeCell ref="G122:H122"/>
    <mergeCell ref="B128:D128"/>
    <mergeCell ref="B129:D129"/>
    <mergeCell ref="B194:D194"/>
    <mergeCell ref="B172:D172"/>
    <mergeCell ref="B174:F174"/>
    <mergeCell ref="E175:F175"/>
    <mergeCell ref="E108:F108"/>
    <mergeCell ref="G108:H108"/>
    <mergeCell ref="B109:D109"/>
    <mergeCell ref="B110:D110"/>
    <mergeCell ref="B111:D111"/>
    <mergeCell ref="B112:D112"/>
    <mergeCell ref="B113:D113"/>
    <mergeCell ref="B115:F115"/>
    <mergeCell ref="E116:F116"/>
    <mergeCell ref="G116:H116"/>
    <mergeCell ref="E117:F117"/>
    <mergeCell ref="G117:H117"/>
    <mergeCell ref="E118:F118"/>
    <mergeCell ref="G118:H118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104:F104"/>
    <mergeCell ref="G104:H104"/>
    <mergeCell ref="E105:F105"/>
    <mergeCell ref="G105:H105"/>
    <mergeCell ref="E106:F106"/>
    <mergeCell ref="G106:H106"/>
    <mergeCell ref="G70:H70"/>
    <mergeCell ref="E71:F71"/>
    <mergeCell ref="G71:H71"/>
    <mergeCell ref="E72:F72"/>
    <mergeCell ref="G72:H72"/>
    <mergeCell ref="E73:F73"/>
    <mergeCell ref="G73:H73"/>
    <mergeCell ref="B88:D88"/>
    <mergeCell ref="B89:D89"/>
    <mergeCell ref="B90:D90"/>
    <mergeCell ref="B91:D91"/>
    <mergeCell ref="B92:D92"/>
    <mergeCell ref="B94:F94"/>
    <mergeCell ref="E95:F95"/>
    <mergeCell ref="G95:H95"/>
    <mergeCell ref="E107:F107"/>
    <mergeCell ref="G107:H107"/>
    <mergeCell ref="E98:F98"/>
    <mergeCell ref="G98:H98"/>
    <mergeCell ref="E99:F99"/>
    <mergeCell ref="E57:F57"/>
    <mergeCell ref="G57:H57"/>
    <mergeCell ref="E58:F58"/>
    <mergeCell ref="G58:H58"/>
    <mergeCell ref="E59:F59"/>
    <mergeCell ref="E96:F96"/>
    <mergeCell ref="G96:H96"/>
    <mergeCell ref="E97:F97"/>
    <mergeCell ref="G97:H97"/>
    <mergeCell ref="E74:F74"/>
    <mergeCell ref="G74:H74"/>
    <mergeCell ref="E75:F75"/>
    <mergeCell ref="G75:H75"/>
    <mergeCell ref="E76:F76"/>
    <mergeCell ref="G76:H76"/>
    <mergeCell ref="B77:D77"/>
    <mergeCell ref="B78:D78"/>
    <mergeCell ref="B79:D79"/>
    <mergeCell ref="B80:D80"/>
    <mergeCell ref="B81:D81"/>
    <mergeCell ref="B83:F83"/>
    <mergeCell ref="E84:F84"/>
    <mergeCell ref="G84:H84"/>
    <mergeCell ref="E85:F85"/>
    <mergeCell ref="G85:H85"/>
    <mergeCell ref="E86:F86"/>
    <mergeCell ref="G86:H86"/>
    <mergeCell ref="E87:F87"/>
    <mergeCell ref="G87:H87"/>
    <mergeCell ref="E69:F69"/>
    <mergeCell ref="G69:H69"/>
    <mergeCell ref="E70:F7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G59:H59"/>
    <mergeCell ref="E60:F60"/>
    <mergeCell ref="A7:H7"/>
    <mergeCell ref="G9:H9"/>
    <mergeCell ref="A8:H8"/>
    <mergeCell ref="B478:D478"/>
    <mergeCell ref="B479:D479"/>
    <mergeCell ref="B396:D396"/>
    <mergeCell ref="B397:D397"/>
    <mergeCell ref="B398:D398"/>
    <mergeCell ref="G380:H380"/>
    <mergeCell ref="G379:H379"/>
    <mergeCell ref="B395:D395"/>
    <mergeCell ref="B386:D386"/>
    <mergeCell ref="B361:D361"/>
    <mergeCell ref="B362:D362"/>
    <mergeCell ref="B387:D387"/>
    <mergeCell ref="B26:F26"/>
    <mergeCell ref="E445:F445"/>
    <mergeCell ref="B36:D36"/>
    <mergeCell ref="B37:D37"/>
    <mergeCell ref="B38:D38"/>
    <mergeCell ref="E41:F41"/>
    <mergeCell ref="G41:H41"/>
    <mergeCell ref="E42:F42"/>
    <mergeCell ref="G42:H42"/>
    <mergeCell ref="G60:H60"/>
    <mergeCell ref="B40:F40"/>
    <mergeCell ref="E46:F46"/>
    <mergeCell ref="G46:H46"/>
    <mergeCell ref="G56:H56"/>
    <mergeCell ref="E47:F47"/>
    <mergeCell ref="G47:H47"/>
    <mergeCell ref="E48:F48"/>
    <mergeCell ref="G48:H48"/>
    <mergeCell ref="G43:H43"/>
    <mergeCell ref="G51:H51"/>
    <mergeCell ref="E52:F52"/>
    <mergeCell ref="E45:F45"/>
    <mergeCell ref="G45:H45"/>
    <mergeCell ref="E49:F49"/>
    <mergeCell ref="G49:H49"/>
    <mergeCell ref="E50:F50"/>
    <mergeCell ref="G50:H50"/>
    <mergeCell ref="E51:F51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44:F44"/>
    <mergeCell ref="G44:H44"/>
    <mergeCell ref="G52:H52"/>
    <mergeCell ref="B34:D34"/>
    <mergeCell ref="B35:D35"/>
    <mergeCell ref="E33:F33"/>
    <mergeCell ref="G33:H33"/>
    <mergeCell ref="E43:F43"/>
    <mergeCell ref="G3368:H3368"/>
    <mergeCell ref="G3241:H3241"/>
    <mergeCell ref="B3248:D3248"/>
    <mergeCell ref="B3249:D3249"/>
    <mergeCell ref="B3262:F3262"/>
    <mergeCell ref="E3263:F3263"/>
    <mergeCell ref="G3263:H3263"/>
    <mergeCell ref="E53:F53"/>
    <mergeCell ref="G53:H53"/>
    <mergeCell ref="E54:F54"/>
    <mergeCell ref="G54:H54"/>
    <mergeCell ref="E55:F55"/>
    <mergeCell ref="G55:H55"/>
    <mergeCell ref="E56:F56"/>
    <mergeCell ref="B484:F484"/>
    <mergeCell ref="E489:F489"/>
    <mergeCell ref="E490:F490"/>
    <mergeCell ref="E444:F444"/>
    <mergeCell ref="B456:F456"/>
    <mergeCell ref="E457:F457"/>
    <mergeCell ref="B467:F467"/>
    <mergeCell ref="E468:F468"/>
    <mergeCell ref="B3204:D3204"/>
    <mergeCell ref="E3187:F3187"/>
    <mergeCell ref="G3187:H3187"/>
    <mergeCell ref="E3188:F3188"/>
    <mergeCell ref="G3188:H3188"/>
    <mergeCell ref="E1115:F1115"/>
    <mergeCell ref="G1115:H1115"/>
    <mergeCell ref="E750:F750"/>
    <mergeCell ref="G750:H750"/>
    <mergeCell ref="E751:F751"/>
    <mergeCell ref="G751:H751"/>
    <mergeCell ref="E752:F752"/>
    <mergeCell ref="G752:H752"/>
    <mergeCell ref="B753:D753"/>
    <mergeCell ref="G864:H864"/>
    <mergeCell ref="B859:F859"/>
    <mergeCell ref="B860:F860"/>
    <mergeCell ref="E861:F861"/>
    <mergeCell ref="B3196:F3196"/>
    <mergeCell ref="B3147:D3147"/>
    <mergeCell ref="B3148:D3148"/>
    <mergeCell ref="B3186:F3186"/>
    <mergeCell ref="B761:D761"/>
    <mergeCell ref="B762:D762"/>
    <mergeCell ref="B763:D763"/>
    <mergeCell ref="B764:D764"/>
    <mergeCell ref="B765:D765"/>
    <mergeCell ref="B767:F767"/>
    <mergeCell ref="E768:F768"/>
    <mergeCell ref="G768:H768"/>
    <mergeCell ref="E769:F769"/>
    <mergeCell ref="E771:F771"/>
    <mergeCell ref="G771:H771"/>
    <mergeCell ref="E772:F772"/>
    <mergeCell ref="G1256:H1256"/>
    <mergeCell ref="B1260:D1260"/>
    <mergeCell ref="B757:D757"/>
    <mergeCell ref="G3685:H3685"/>
    <mergeCell ref="B3686:D3686"/>
    <mergeCell ref="E2716:F2716"/>
    <mergeCell ref="G2716:H2716"/>
    <mergeCell ref="E2717:F2717"/>
    <mergeCell ref="G2717:H2717"/>
    <mergeCell ref="B3350:D3350"/>
    <mergeCell ref="B3356:F3356"/>
    <mergeCell ref="E3357:F3357"/>
    <mergeCell ref="G3357:H3357"/>
    <mergeCell ref="B3361:D3361"/>
    <mergeCell ref="B3377:D3377"/>
    <mergeCell ref="G3243:H3243"/>
    <mergeCell ref="E3244:F3244"/>
    <mergeCell ref="B3246:D3246"/>
    <mergeCell ref="B3247:D3247"/>
    <mergeCell ref="E3264:F3264"/>
    <mergeCell ref="G3264:H3264"/>
    <mergeCell ref="E3368:F3368"/>
    <mergeCell ref="B3194:D3194"/>
    <mergeCell ref="E3178:F3178"/>
    <mergeCell ref="G3178:H3178"/>
    <mergeCell ref="E3179:F3179"/>
    <mergeCell ref="G3179:H3179"/>
    <mergeCell ref="B3192:D3192"/>
    <mergeCell ref="B3193:D3193"/>
    <mergeCell ref="B3238:D3238"/>
    <mergeCell ref="B3240:F3240"/>
    <mergeCell ref="B3367:F3367"/>
    <mergeCell ref="E3189:F3189"/>
    <mergeCell ref="G3143:H3143"/>
    <mergeCell ref="G3145:H3145"/>
    <mergeCell ref="B3202:D3202"/>
    <mergeCell ref="B3363:D3363"/>
    <mergeCell ref="B3300:D3300"/>
    <mergeCell ref="E3231:F3231"/>
    <mergeCell ref="E3208:F3208"/>
    <mergeCell ref="B3277:D3277"/>
    <mergeCell ref="B3278:D3278"/>
    <mergeCell ref="B3279:D3279"/>
    <mergeCell ref="B3203:D3203"/>
    <mergeCell ref="B3364:D3364"/>
    <mergeCell ref="B3365:D3365"/>
    <mergeCell ref="E3333:F3333"/>
    <mergeCell ref="G3333:H3333"/>
    <mergeCell ref="B3280:D3280"/>
    <mergeCell ref="B3281:D3281"/>
    <mergeCell ref="B3283:F3283"/>
    <mergeCell ref="E3284:F3284"/>
    <mergeCell ref="G3284:H3284"/>
    <mergeCell ref="E3285:F3285"/>
    <mergeCell ref="G3285:H3285"/>
    <mergeCell ref="B3286:D3286"/>
    <mergeCell ref="B3287:D3287"/>
    <mergeCell ref="B3288:D3288"/>
    <mergeCell ref="B3268:D3268"/>
    <mergeCell ref="G3208:H3208"/>
    <mergeCell ref="E3209:F3209"/>
    <mergeCell ref="G3210:H3210"/>
    <mergeCell ref="G3209:H3209"/>
    <mergeCell ref="E3210:F3210"/>
    <mergeCell ref="B3301:D3301"/>
    <mergeCell ref="B3302:D3302"/>
    <mergeCell ref="B3303:D3303"/>
    <mergeCell ref="G3684:H3684"/>
    <mergeCell ref="E3685:F3685"/>
    <mergeCell ref="E501:F501"/>
    <mergeCell ref="B3271:D3271"/>
    <mergeCell ref="B3273:F3273"/>
    <mergeCell ref="E3274:F3274"/>
    <mergeCell ref="G3274:H3274"/>
    <mergeCell ref="E3275:F3275"/>
    <mergeCell ref="G3275:H3275"/>
    <mergeCell ref="E3276:F3276"/>
    <mergeCell ref="B3269:D3269"/>
    <mergeCell ref="B2713:D2713"/>
    <mergeCell ref="B2715:F2715"/>
    <mergeCell ref="B1434:D1434"/>
    <mergeCell ref="B1435:D1435"/>
    <mergeCell ref="B3169:D3169"/>
    <mergeCell ref="B3170:D3170"/>
    <mergeCell ref="B3171:D3171"/>
    <mergeCell ref="B3172:D3172"/>
    <mergeCell ref="B1431:D1431"/>
    <mergeCell ref="B3175:F3175"/>
    <mergeCell ref="E3176:F3176"/>
    <mergeCell ref="G3176:H3176"/>
    <mergeCell ref="E3177:F3177"/>
    <mergeCell ref="G3177:H3177"/>
    <mergeCell ref="B855:D855"/>
    <mergeCell ref="B2722:D2722"/>
    <mergeCell ref="B2723:D2723"/>
    <mergeCell ref="B3343:F3343"/>
    <mergeCell ref="E3344:F3344"/>
    <mergeCell ref="G3344:H3344"/>
    <mergeCell ref="B3201:D3201"/>
    <mergeCell ref="B2697:D2697"/>
    <mergeCell ref="B2698:D2698"/>
    <mergeCell ref="B2721:D2721"/>
    <mergeCell ref="E3199:F3199"/>
    <mergeCell ref="G3199:H3199"/>
    <mergeCell ref="E3198:F3198"/>
    <mergeCell ref="G3198:H3198"/>
    <mergeCell ref="E2718:F2718"/>
    <mergeCell ref="G2718:H2718"/>
    <mergeCell ref="B3173:D3173"/>
    <mergeCell ref="B3191:D3191"/>
    <mergeCell ref="B3180:D3180"/>
    <mergeCell ref="B3181:D3181"/>
    <mergeCell ref="B3182:D3182"/>
    <mergeCell ref="G3167:H3167"/>
    <mergeCell ref="E3168:F3168"/>
    <mergeCell ref="G3168:H3168"/>
    <mergeCell ref="E3197:F3197"/>
    <mergeCell ref="G3189:H3189"/>
    <mergeCell ref="B3190:D3190"/>
    <mergeCell ref="B3139:F3139"/>
    <mergeCell ref="B3140:F3140"/>
    <mergeCell ref="E3141:F3141"/>
    <mergeCell ref="G3141:H3141"/>
    <mergeCell ref="E3142:F3142"/>
    <mergeCell ref="G3142:H3142"/>
    <mergeCell ref="E3143:F3143"/>
    <mergeCell ref="G3197:H3197"/>
    <mergeCell ref="E3145:F3145"/>
    <mergeCell ref="E3146:F3146"/>
    <mergeCell ref="G3146:H3146"/>
    <mergeCell ref="B3183:D3183"/>
    <mergeCell ref="J2526:K2526"/>
    <mergeCell ref="E2692:F2692"/>
    <mergeCell ref="G2692:H2692"/>
    <mergeCell ref="J2527:K2527"/>
    <mergeCell ref="E3211:F3211"/>
    <mergeCell ref="G3211:H3211"/>
    <mergeCell ref="B3212:D3212"/>
    <mergeCell ref="B3213:D3213"/>
    <mergeCell ref="B3214:D3214"/>
    <mergeCell ref="B3215:D3215"/>
    <mergeCell ref="G769:H769"/>
    <mergeCell ref="E770:F770"/>
    <mergeCell ref="G770:H770"/>
    <mergeCell ref="G798:H798"/>
    <mergeCell ref="G816:H816"/>
    <mergeCell ref="G817:H817"/>
    <mergeCell ref="G772:H772"/>
    <mergeCell ref="E773:F773"/>
    <mergeCell ref="G773:H773"/>
    <mergeCell ref="B774:D774"/>
    <mergeCell ref="B775:D775"/>
    <mergeCell ref="B1251:F1251"/>
    <mergeCell ref="B1252:F1252"/>
    <mergeCell ref="B1253:F1253"/>
    <mergeCell ref="E1254:F1254"/>
    <mergeCell ref="B1270:D1270"/>
    <mergeCell ref="B1271:D1271"/>
    <mergeCell ref="B1273:F1273"/>
    <mergeCell ref="B1422:D1422"/>
    <mergeCell ref="B1423:D1423"/>
    <mergeCell ref="B1424:D1424"/>
    <mergeCell ref="B1425:D1425"/>
    <mergeCell ref="B1178:D1178"/>
    <mergeCell ref="B1179:D1179"/>
    <mergeCell ref="B1180:D1180"/>
    <mergeCell ref="B1181:D1181"/>
    <mergeCell ref="B1183:F1183"/>
    <mergeCell ref="E1256:F1256"/>
    <mergeCell ref="B1267:D1267"/>
    <mergeCell ref="B1268:D1268"/>
    <mergeCell ref="B1269:D1269"/>
    <mergeCell ref="B1236:D1236"/>
    <mergeCell ref="B1238:F1238"/>
    <mergeCell ref="B1154:D1154"/>
    <mergeCell ref="E1163:F1163"/>
    <mergeCell ref="G1148:H1148"/>
    <mergeCell ref="E1149:F1149"/>
    <mergeCell ref="G1149:H1149"/>
    <mergeCell ref="G1140:H1140"/>
    <mergeCell ref="E1165:F1165"/>
    <mergeCell ref="G1187:H1187"/>
    <mergeCell ref="G1165:H1165"/>
    <mergeCell ref="B1188:D1188"/>
    <mergeCell ref="B1189:D1189"/>
    <mergeCell ref="B1166:D1166"/>
    <mergeCell ref="B1167:D1167"/>
    <mergeCell ref="B1261:D1261"/>
    <mergeCell ref="B1263:F1263"/>
    <mergeCell ref="E1264:F1264"/>
    <mergeCell ref="G1264:H1264"/>
    <mergeCell ref="E1265:F1265"/>
    <mergeCell ref="G1265:H1265"/>
    <mergeCell ref="E1266:F1266"/>
    <mergeCell ref="G1266:H1266"/>
    <mergeCell ref="B2135:F2135"/>
    <mergeCell ref="E3372:F3372"/>
    <mergeCell ref="G3372:H3372"/>
    <mergeCell ref="B3205:D3205"/>
    <mergeCell ref="B3207:F3207"/>
    <mergeCell ref="B3245:D3245"/>
    <mergeCell ref="E3242:F3242"/>
    <mergeCell ref="G3242:H3242"/>
    <mergeCell ref="G3276:H3276"/>
    <mergeCell ref="G3231:H3231"/>
    <mergeCell ref="E3232:F3232"/>
    <mergeCell ref="G3232:H3232"/>
    <mergeCell ref="E3233:F3233"/>
    <mergeCell ref="G3233:H3233"/>
    <mergeCell ref="G3222:H3222"/>
    <mergeCell ref="B3223:D3223"/>
    <mergeCell ref="B3224:D3224"/>
    <mergeCell ref="B2732:D2732"/>
    <mergeCell ref="B2733:D2733"/>
    <mergeCell ref="B2734:D2734"/>
    <mergeCell ref="B3149:D3149"/>
    <mergeCell ref="B3150:D3150"/>
    <mergeCell ref="B3152:D3152"/>
    <mergeCell ref="B3166:F3166"/>
    <mergeCell ref="E3167:F3167"/>
    <mergeCell ref="B3216:D3216"/>
    <mergeCell ref="B3218:F3218"/>
    <mergeCell ref="E3219:F3219"/>
    <mergeCell ref="G3219:H3219"/>
    <mergeCell ref="E3220:F3220"/>
    <mergeCell ref="G3220:H3220"/>
    <mergeCell ref="B2735:D2735"/>
    <mergeCell ref="E739:F739"/>
    <mergeCell ref="G739:H739"/>
    <mergeCell ref="E740:F740"/>
    <mergeCell ref="G740:H740"/>
    <mergeCell ref="B464:D464"/>
    <mergeCell ref="E487:F487"/>
    <mergeCell ref="E488:F488"/>
    <mergeCell ref="G502:H502"/>
    <mergeCell ref="G500:H500"/>
    <mergeCell ref="B495:D495"/>
    <mergeCell ref="G491:H491"/>
    <mergeCell ref="G492:H492"/>
    <mergeCell ref="B496:D496"/>
    <mergeCell ref="G490:H490"/>
    <mergeCell ref="E485:F485"/>
    <mergeCell ref="E486:F486"/>
    <mergeCell ref="B481:D481"/>
    <mergeCell ref="B473:D473"/>
    <mergeCell ref="B475:F475"/>
    <mergeCell ref="B529:D529"/>
    <mergeCell ref="B530:D530"/>
    <mergeCell ref="B572:D572"/>
    <mergeCell ref="G468:H468"/>
    <mergeCell ref="E688:F688"/>
    <mergeCell ref="G688:H688"/>
    <mergeCell ref="B689:D689"/>
    <mergeCell ref="B690:D690"/>
    <mergeCell ref="B691:D691"/>
    <mergeCell ref="E601:F601"/>
    <mergeCell ref="G601:H601"/>
    <mergeCell ref="E523:F523"/>
    <mergeCell ref="E567:F567"/>
    <mergeCell ref="B741:D741"/>
    <mergeCell ref="B573:D573"/>
    <mergeCell ref="B454:D454"/>
    <mergeCell ref="B482:D482"/>
    <mergeCell ref="E447:F447"/>
    <mergeCell ref="G447:H447"/>
    <mergeCell ref="G523:H523"/>
    <mergeCell ref="B268:D268"/>
    <mergeCell ref="E382:F382"/>
    <mergeCell ref="B257:D257"/>
    <mergeCell ref="G307:H307"/>
    <mergeCell ref="B242:D242"/>
    <mergeCell ref="B243:D243"/>
    <mergeCell ref="B221:D221"/>
    <mergeCell ref="B222:D222"/>
    <mergeCell ref="B223:D223"/>
    <mergeCell ref="B224:D224"/>
    <mergeCell ref="B265:D265"/>
    <mergeCell ref="B450:D450"/>
    <mergeCell ref="B451:D451"/>
    <mergeCell ref="E491:F491"/>
    <mergeCell ref="E492:F492"/>
    <mergeCell ref="B493:D493"/>
    <mergeCell ref="B494:D494"/>
    <mergeCell ref="E476:F476"/>
    <mergeCell ref="E477:F477"/>
    <mergeCell ref="B472:D472"/>
    <mergeCell ref="E435:F435"/>
    <mergeCell ref="G391:H391"/>
    <mergeCell ref="E522:F522"/>
    <mergeCell ref="B471:D471"/>
    <mergeCell ref="G444:H444"/>
    <mergeCell ref="G229:H229"/>
    <mergeCell ref="B230:D230"/>
    <mergeCell ref="B231:D231"/>
    <mergeCell ref="B232:D232"/>
    <mergeCell ref="G476:H476"/>
    <mergeCell ref="G477:H477"/>
    <mergeCell ref="G485:H485"/>
    <mergeCell ref="G382:H382"/>
    <mergeCell ref="E357:F357"/>
    <mergeCell ref="B358:D358"/>
    <mergeCell ref="B359:D359"/>
    <mergeCell ref="B383:D383"/>
    <mergeCell ref="B384:D384"/>
    <mergeCell ref="B385:D385"/>
    <mergeCell ref="B378:F378"/>
    <mergeCell ref="E379:F379"/>
    <mergeCell ref="E392:F392"/>
    <mergeCell ref="B394:D394"/>
    <mergeCell ref="E448:F448"/>
    <mergeCell ref="G321:H321"/>
    <mergeCell ref="E284:F284"/>
    <mergeCell ref="G284:H284"/>
    <mergeCell ref="B285:D285"/>
    <mergeCell ref="B286:D286"/>
    <mergeCell ref="B287:D287"/>
    <mergeCell ref="B288:D288"/>
    <mergeCell ref="B289:D289"/>
    <mergeCell ref="G237:H237"/>
    <mergeCell ref="B438:D438"/>
    <mergeCell ref="B439:D439"/>
    <mergeCell ref="B440:D440"/>
    <mergeCell ref="B441:D441"/>
    <mergeCell ref="B1016:F1016"/>
    <mergeCell ref="E1017:F1017"/>
    <mergeCell ref="G1017:H1017"/>
    <mergeCell ref="E1018:F1018"/>
    <mergeCell ref="G1018:H1018"/>
    <mergeCell ref="E1019:F1019"/>
    <mergeCell ref="G1019:H1019"/>
    <mergeCell ref="E1020:F1020"/>
    <mergeCell ref="G1020:H1020"/>
    <mergeCell ref="B2731:D2731"/>
    <mergeCell ref="B1218:F1218"/>
    <mergeCell ref="E1219:F1219"/>
    <mergeCell ref="G1219:H1219"/>
    <mergeCell ref="B1220:D1220"/>
    <mergeCell ref="B1221:D1221"/>
    <mergeCell ref="B1222:D1222"/>
    <mergeCell ref="E1255:F1255"/>
    <mergeCell ref="G1255:H1255"/>
    <mergeCell ref="B1426:D1426"/>
    <mergeCell ref="E1430:F1430"/>
    <mergeCell ref="G1430:H1430"/>
    <mergeCell ref="B1432:D1432"/>
    <mergeCell ref="B1433:D1433"/>
    <mergeCell ref="E1139:F1139"/>
    <mergeCell ref="G1139:H1139"/>
    <mergeCell ref="E1140:F1140"/>
    <mergeCell ref="G1254:H1254"/>
    <mergeCell ref="B1134:D1134"/>
    <mergeCell ref="B1135:D1135"/>
    <mergeCell ref="B1137:F1137"/>
    <mergeCell ref="E1138:F1138"/>
    <mergeCell ref="G1138:H1138"/>
    <mergeCell ref="B3337:D3337"/>
    <mergeCell ref="B3721:F3721"/>
    <mergeCell ref="E3255:F3255"/>
    <mergeCell ref="B2720:D2720"/>
    <mergeCell ref="E3815:F3815"/>
    <mergeCell ref="G3815:H3815"/>
    <mergeCell ref="E3156:F3156"/>
    <mergeCell ref="G3156:H3156"/>
    <mergeCell ref="E3157:F3157"/>
    <mergeCell ref="G3157:H3157"/>
    <mergeCell ref="E3158:F3158"/>
    <mergeCell ref="G3158:H3158"/>
    <mergeCell ref="E3159:F3159"/>
    <mergeCell ref="G3159:H3159"/>
    <mergeCell ref="B3160:D3160"/>
    <mergeCell ref="B3161:D3161"/>
    <mergeCell ref="B3162:D3162"/>
    <mergeCell ref="B3163:D3163"/>
    <mergeCell ref="B3164:D3164"/>
    <mergeCell ref="E3200:F3200"/>
    <mergeCell ref="G3200:H3200"/>
    <mergeCell ref="B3251:F3251"/>
    <mergeCell ref="E3252:F3252"/>
    <mergeCell ref="G3252:H3252"/>
    <mergeCell ref="B3374:D3374"/>
    <mergeCell ref="B2724:D2724"/>
    <mergeCell ref="B2726:F2726"/>
    <mergeCell ref="E2727:F2727"/>
    <mergeCell ref="B3682:F3682"/>
    <mergeCell ref="E3683:F3683"/>
    <mergeCell ref="G3683:H3683"/>
    <mergeCell ref="E3684:F3684"/>
    <mergeCell ref="G1005:H1005"/>
    <mergeCell ref="B736:F736"/>
    <mergeCell ref="E737:F737"/>
    <mergeCell ref="G737:H737"/>
    <mergeCell ref="E738:F738"/>
    <mergeCell ref="G738:H738"/>
    <mergeCell ref="B3687:D3687"/>
    <mergeCell ref="E3816:F3816"/>
    <mergeCell ref="G3816:H3816"/>
    <mergeCell ref="E3818:F3818"/>
    <mergeCell ref="G3818:H3818"/>
    <mergeCell ref="E3817:F3817"/>
    <mergeCell ref="G3817:H3817"/>
    <mergeCell ref="B3819:D3819"/>
    <mergeCell ref="B3812:F3812"/>
    <mergeCell ref="E3813:F3813"/>
    <mergeCell ref="G3813:H3813"/>
    <mergeCell ref="E3814:F3814"/>
    <mergeCell ref="G3814:H3814"/>
    <mergeCell ref="B3375:D3375"/>
    <mergeCell ref="B3376:D3376"/>
    <mergeCell ref="E3243:F3243"/>
    <mergeCell ref="B3354:D3354"/>
    <mergeCell ref="E3358:F3358"/>
    <mergeCell ref="B3315:D3315"/>
    <mergeCell ref="B3332:F3332"/>
    <mergeCell ref="B3688:D3688"/>
    <mergeCell ref="B3689:D3689"/>
    <mergeCell ref="B3690:D3690"/>
    <mergeCell ref="E3369:F3369"/>
    <mergeCell ref="G3369:H3369"/>
    <mergeCell ref="G3371:H3371"/>
    <mergeCell ref="B3820:D3820"/>
    <mergeCell ref="B3821:D3821"/>
    <mergeCell ref="B3822:D3822"/>
    <mergeCell ref="B3823:D3823"/>
    <mergeCell ref="B3824:F3824"/>
    <mergeCell ref="G448:H448"/>
    <mergeCell ref="B3153:F3153"/>
    <mergeCell ref="E3154:F3154"/>
    <mergeCell ref="G3154:H3154"/>
    <mergeCell ref="E3155:F3155"/>
    <mergeCell ref="G3155:H3155"/>
    <mergeCell ref="E1004:F1004"/>
    <mergeCell ref="G1004:H1004"/>
    <mergeCell ref="E1005:F1005"/>
    <mergeCell ref="E322:F322"/>
    <mergeCell ref="G1007:H1007"/>
    <mergeCell ref="G322:H322"/>
    <mergeCell ref="G323:H323"/>
    <mergeCell ref="G324:H324"/>
    <mergeCell ref="E323:F323"/>
    <mergeCell ref="E324:F324"/>
    <mergeCell ref="E333:F333"/>
    <mergeCell ref="G333:H333"/>
    <mergeCell ref="E334:F334"/>
    <mergeCell ref="G334:H334"/>
    <mergeCell ref="E335:F335"/>
    <mergeCell ref="G335:H335"/>
    <mergeCell ref="E336:F336"/>
    <mergeCell ref="G336:H336"/>
    <mergeCell ref="E3370:F3370"/>
    <mergeCell ref="G3370:H3370"/>
    <mergeCell ref="E3371:F3371"/>
    <mergeCell ref="E403:F403"/>
    <mergeCell ref="G403:H403"/>
    <mergeCell ref="E402:F402"/>
    <mergeCell ref="G402:H402"/>
    <mergeCell ref="E401:F401"/>
    <mergeCell ref="G401:H401"/>
    <mergeCell ref="B400:F400"/>
    <mergeCell ref="B283:F283"/>
    <mergeCell ref="E337:F337"/>
    <mergeCell ref="G337:H337"/>
    <mergeCell ref="E338:F338"/>
    <mergeCell ref="G338:H338"/>
    <mergeCell ref="G332:H332"/>
    <mergeCell ref="E339:F339"/>
    <mergeCell ref="E340:F340"/>
    <mergeCell ref="E332:F332"/>
    <mergeCell ref="G339:H339"/>
    <mergeCell ref="G340:H340"/>
    <mergeCell ref="G316:H316"/>
    <mergeCell ref="E316:F316"/>
    <mergeCell ref="E317:F317"/>
    <mergeCell ref="G317:H317"/>
    <mergeCell ref="E318:F318"/>
    <mergeCell ref="G318:H318"/>
    <mergeCell ref="E319:F319"/>
    <mergeCell ref="G319:H319"/>
    <mergeCell ref="E320:F320"/>
    <mergeCell ref="G320:H320"/>
    <mergeCell ref="E321:F321"/>
    <mergeCell ref="G357:H357"/>
    <mergeCell ref="E415:F415"/>
    <mergeCell ref="G415:H415"/>
    <mergeCell ref="B416:D416"/>
    <mergeCell ref="B417:D417"/>
    <mergeCell ref="B418:D418"/>
    <mergeCell ref="B419:D419"/>
    <mergeCell ref="B420:D420"/>
    <mergeCell ref="B411:F411"/>
    <mergeCell ref="E412:F412"/>
    <mergeCell ref="G412:H412"/>
    <mergeCell ref="E413:F413"/>
    <mergeCell ref="G413:H413"/>
    <mergeCell ref="E414:F414"/>
    <mergeCell ref="G414:H414"/>
    <mergeCell ref="B409:D409"/>
    <mergeCell ref="B408:D408"/>
    <mergeCell ref="B407:D407"/>
    <mergeCell ref="B427:D427"/>
    <mergeCell ref="G426:H426"/>
    <mergeCell ref="E426:F426"/>
    <mergeCell ref="G425:H425"/>
    <mergeCell ref="E425:F425"/>
    <mergeCell ref="G424:H424"/>
    <mergeCell ref="E424:F424"/>
    <mergeCell ref="G423:H423"/>
    <mergeCell ref="E423:F423"/>
    <mergeCell ref="B422:F422"/>
    <mergeCell ref="B510:F510"/>
    <mergeCell ref="E511:F511"/>
    <mergeCell ref="G511:H511"/>
    <mergeCell ref="E512:F512"/>
    <mergeCell ref="G512:H512"/>
    <mergeCell ref="E513:F513"/>
    <mergeCell ref="G513:H513"/>
    <mergeCell ref="B428:D428"/>
    <mergeCell ref="B429:D429"/>
    <mergeCell ref="B430:D430"/>
    <mergeCell ref="B431:D431"/>
    <mergeCell ref="B461:D461"/>
    <mergeCell ref="B462:D462"/>
    <mergeCell ref="G458:H458"/>
    <mergeCell ref="E459:F459"/>
    <mergeCell ref="B452:D452"/>
    <mergeCell ref="B466:F466"/>
    <mergeCell ref="B469:D469"/>
    <mergeCell ref="B470:D470"/>
    <mergeCell ref="G457:H457"/>
    <mergeCell ref="B443:F443"/>
    <mergeCell ref="E449:F449"/>
    <mergeCell ref="E514:F514"/>
    <mergeCell ref="G514:H514"/>
    <mergeCell ref="B515:D515"/>
    <mergeCell ref="B516:D516"/>
    <mergeCell ref="B517:D517"/>
    <mergeCell ref="B518:D518"/>
    <mergeCell ref="B519:D519"/>
    <mergeCell ref="B532:F532"/>
    <mergeCell ref="E533:F533"/>
    <mergeCell ref="G533:H533"/>
    <mergeCell ref="E534:F534"/>
    <mergeCell ref="G534:H534"/>
    <mergeCell ref="E535:F535"/>
    <mergeCell ref="G535:H535"/>
    <mergeCell ref="E536:F536"/>
    <mergeCell ref="G536:H536"/>
    <mergeCell ref="B537:D537"/>
    <mergeCell ref="G522:H522"/>
    <mergeCell ref="E525:F525"/>
    <mergeCell ref="G525:H525"/>
    <mergeCell ref="B554:F554"/>
    <mergeCell ref="E555:F555"/>
    <mergeCell ref="G555:H555"/>
    <mergeCell ref="E556:F556"/>
    <mergeCell ref="G556:H556"/>
    <mergeCell ref="E557:F557"/>
    <mergeCell ref="G557:H557"/>
    <mergeCell ref="E558:F558"/>
    <mergeCell ref="G558:H558"/>
    <mergeCell ref="G567:H567"/>
    <mergeCell ref="E568:F568"/>
    <mergeCell ref="G568:H568"/>
    <mergeCell ref="E569:F569"/>
    <mergeCell ref="B570:D570"/>
    <mergeCell ref="B574:D574"/>
    <mergeCell ref="G569:H569"/>
    <mergeCell ref="B584:D584"/>
    <mergeCell ref="B585:D585"/>
    <mergeCell ref="B587:F587"/>
    <mergeCell ref="E588:F588"/>
    <mergeCell ref="G588:H588"/>
    <mergeCell ref="B592:D592"/>
    <mergeCell ref="B593:D593"/>
    <mergeCell ref="B594:D594"/>
    <mergeCell ref="B595:D595"/>
    <mergeCell ref="E589:F589"/>
    <mergeCell ref="G589:H589"/>
    <mergeCell ref="E590:F590"/>
    <mergeCell ref="G590:H590"/>
    <mergeCell ref="E591:F591"/>
    <mergeCell ref="G591:H591"/>
    <mergeCell ref="B596:D596"/>
    <mergeCell ref="B559:D559"/>
    <mergeCell ref="B560:D560"/>
    <mergeCell ref="B561:D561"/>
    <mergeCell ref="B562:D562"/>
    <mergeCell ref="B563:D563"/>
    <mergeCell ref="B576:F576"/>
    <mergeCell ref="E577:F577"/>
    <mergeCell ref="G577:H577"/>
    <mergeCell ref="E578:F578"/>
    <mergeCell ref="G578:H578"/>
    <mergeCell ref="E579:F579"/>
    <mergeCell ref="G579:H579"/>
    <mergeCell ref="E580:F580"/>
    <mergeCell ref="G580:H580"/>
    <mergeCell ref="B581:D581"/>
    <mergeCell ref="B582:D582"/>
    <mergeCell ref="B1295:F1295"/>
    <mergeCell ref="E1296:F1296"/>
    <mergeCell ref="G1296:H1296"/>
    <mergeCell ref="E1297:F1297"/>
    <mergeCell ref="G1297:H1297"/>
    <mergeCell ref="E1298:F1298"/>
    <mergeCell ref="G1298:H1298"/>
    <mergeCell ref="E1299:F1299"/>
    <mergeCell ref="G1299:H1299"/>
    <mergeCell ref="B1300:D1300"/>
    <mergeCell ref="B1301:D1301"/>
    <mergeCell ref="B1302:D1302"/>
    <mergeCell ref="B1303:D1303"/>
    <mergeCell ref="B1304:D1304"/>
    <mergeCell ref="B1306:F1306"/>
    <mergeCell ref="E1307:F1307"/>
    <mergeCell ref="G1307:H1307"/>
    <mergeCell ref="E1308:F1308"/>
    <mergeCell ref="G1308:H1308"/>
    <mergeCell ref="E1309:F1309"/>
    <mergeCell ref="G1309:H1309"/>
    <mergeCell ref="E1310:F1310"/>
    <mergeCell ref="G1310:H1310"/>
    <mergeCell ref="B1311:D1311"/>
    <mergeCell ref="B1312:D1312"/>
    <mergeCell ref="B1313:D1313"/>
    <mergeCell ref="B1314:D1314"/>
    <mergeCell ref="B1315:D1315"/>
    <mergeCell ref="B1328:F1328"/>
    <mergeCell ref="E1329:F1329"/>
    <mergeCell ref="G1329:H1329"/>
    <mergeCell ref="E1330:F1330"/>
    <mergeCell ref="G1330:H1330"/>
    <mergeCell ref="E1331:F1331"/>
    <mergeCell ref="G1331:H1331"/>
    <mergeCell ref="E1320:F1320"/>
    <mergeCell ref="G1320:H1320"/>
    <mergeCell ref="E1321:F1321"/>
    <mergeCell ref="G1321:H1321"/>
    <mergeCell ref="B1322:D1322"/>
    <mergeCell ref="B1323:D1323"/>
    <mergeCell ref="B1324:D1324"/>
    <mergeCell ref="B1325:D1325"/>
    <mergeCell ref="B1326:D1326"/>
    <mergeCell ref="G1656:H1656"/>
    <mergeCell ref="E1657:F1657"/>
    <mergeCell ref="G1657:H1657"/>
    <mergeCell ref="E1658:F1658"/>
    <mergeCell ref="G1658:H1658"/>
    <mergeCell ref="B1659:D1659"/>
    <mergeCell ref="B1660:D1660"/>
    <mergeCell ref="B1661:D1661"/>
    <mergeCell ref="B1662:D1662"/>
    <mergeCell ref="B1663:D1663"/>
    <mergeCell ref="B1903:F1903"/>
    <mergeCell ref="E1904:F1904"/>
    <mergeCell ref="G1904:H1904"/>
    <mergeCell ref="E1905:F1905"/>
    <mergeCell ref="G1905:H1905"/>
    <mergeCell ref="E1906:F1906"/>
    <mergeCell ref="G1906:H1906"/>
    <mergeCell ref="B1737:F1737"/>
    <mergeCell ref="B1738:F1738"/>
    <mergeCell ref="E1739:F1739"/>
    <mergeCell ref="G1739:H1739"/>
    <mergeCell ref="E1740:F1740"/>
    <mergeCell ref="G1740:H1740"/>
    <mergeCell ref="E1741:F1741"/>
    <mergeCell ref="G1741:H1741"/>
    <mergeCell ref="B1742:D1742"/>
    <mergeCell ref="B1743:D1743"/>
    <mergeCell ref="B1744:D1744"/>
    <mergeCell ref="B1745:D1745"/>
    <mergeCell ref="B1746:D1746"/>
    <mergeCell ref="B1748:F1748"/>
    <mergeCell ref="E1749:F1749"/>
    <mergeCell ref="B2036:D2036"/>
    <mergeCell ref="B2037:D2037"/>
    <mergeCell ref="B2038:D2038"/>
    <mergeCell ref="B2039:D2039"/>
    <mergeCell ref="B3692:F3692"/>
    <mergeCell ref="E3693:F3693"/>
    <mergeCell ref="G3693:H3693"/>
    <mergeCell ref="E3694:F3694"/>
    <mergeCell ref="G3694:H3694"/>
    <mergeCell ref="E3695:F3695"/>
    <mergeCell ref="G3695:H3695"/>
    <mergeCell ref="E3696:F3696"/>
    <mergeCell ref="G3696:H3696"/>
    <mergeCell ref="E3697:F3697"/>
    <mergeCell ref="G3697:H3697"/>
    <mergeCell ref="B2001:F2001"/>
    <mergeCell ref="E2002:F2002"/>
    <mergeCell ref="G2002:H2002"/>
    <mergeCell ref="E2003:F2003"/>
    <mergeCell ref="G2003:H2003"/>
    <mergeCell ref="E2004:F2004"/>
    <mergeCell ref="G2004:H2004"/>
    <mergeCell ref="B2005:D2005"/>
    <mergeCell ref="B2006:D2006"/>
    <mergeCell ref="B2007:D2007"/>
    <mergeCell ref="B2008:D2008"/>
    <mergeCell ref="B2009:D2009"/>
    <mergeCell ref="B2031:F2031"/>
    <mergeCell ref="E2032:F2032"/>
    <mergeCell ref="G2032:H2032"/>
    <mergeCell ref="E2033:F2033"/>
    <mergeCell ref="G2033:H2033"/>
    <mergeCell ref="B3707:D3707"/>
    <mergeCell ref="B3708:D3708"/>
    <mergeCell ref="B3709:D3709"/>
    <mergeCell ref="B3710:D3710"/>
    <mergeCell ref="B3711:D3711"/>
    <mergeCell ref="A1:F1"/>
    <mergeCell ref="A2:F2"/>
    <mergeCell ref="A3:F3"/>
    <mergeCell ref="A4:F4"/>
    <mergeCell ref="G5:H5"/>
    <mergeCell ref="G6:H6"/>
    <mergeCell ref="E3698:F3698"/>
    <mergeCell ref="G3698:H3698"/>
    <mergeCell ref="E3699:F3699"/>
    <mergeCell ref="G3699:H3699"/>
    <mergeCell ref="E3700:F3700"/>
    <mergeCell ref="G3700:H3700"/>
    <mergeCell ref="E3701:F3701"/>
    <mergeCell ref="G3701:H3701"/>
    <mergeCell ref="E3702:F3702"/>
    <mergeCell ref="G3702:H3702"/>
    <mergeCell ref="E3703:F3703"/>
    <mergeCell ref="G3703:H3703"/>
    <mergeCell ref="E3704:F3704"/>
    <mergeCell ref="G3704:H3704"/>
    <mergeCell ref="E3705:F3705"/>
    <mergeCell ref="G3705:H3705"/>
    <mergeCell ref="E3706:F3706"/>
    <mergeCell ref="G3706:H3706"/>
    <mergeCell ref="E2034:F2034"/>
    <mergeCell ref="G2034:H2034"/>
    <mergeCell ref="B2035:D2035"/>
  </mergeCells>
  <pageMargins left="1.1023622047244095" right="0" top="0.39370078740157483" bottom="0.78740157480314965" header="0.31496062992125984" footer="0.31496062992125984"/>
  <pageSetup paperSize="9" scale="65" orientation="portrait" verticalDpi="300" r:id="rId1"/>
  <headerFooter>
    <oddFooter>&amp;R&amp;P</oddFooter>
  </headerFooter>
  <rowBreaks count="67" manualBreakCount="67">
    <brk id="39" max="7" man="1"/>
    <brk id="82" max="7" man="1"/>
    <brk id="130" max="7" man="1"/>
    <brk id="148" max="7" man="1"/>
    <brk id="218" max="7" man="1"/>
    <brk id="269" max="7" man="1"/>
    <brk id="313" max="7" man="1"/>
    <brk id="363" max="7" man="1"/>
    <brk id="421" max="7" man="1"/>
    <brk id="483" max="7" man="1"/>
    <brk id="542" max="7" man="1"/>
    <brk id="597" max="7" man="1"/>
    <brk id="656" max="7" man="1"/>
    <brk id="715" max="7" man="1"/>
    <brk id="766" max="7" man="1"/>
    <brk id="826" max="7" man="1"/>
    <brk id="880" max="7" man="1"/>
    <brk id="930" max="7" man="1"/>
    <brk id="977" max="7" man="1"/>
    <brk id="1028" max="7" man="1"/>
    <brk id="1087" max="7" man="1"/>
    <brk id="1146" max="7" man="1"/>
    <brk id="1205" max="7" man="1"/>
    <brk id="1262" max="7" man="1"/>
    <brk id="1316" max="7" man="1"/>
    <brk id="1370" max="7" man="1"/>
    <brk id="1436" max="7" man="1"/>
    <brk id="1493" max="7" man="1"/>
    <brk id="1554" max="7" man="1"/>
    <brk id="1615" max="7" man="1"/>
    <brk id="1674" max="7" man="1"/>
    <brk id="1736" max="7" man="1"/>
    <brk id="1797" max="7" man="1"/>
    <brk id="1844" max="7" man="1"/>
    <brk id="1912" max="7" man="1"/>
    <brk id="1980" max="7" man="1"/>
    <brk id="2040" max="7" man="1"/>
    <brk id="2096" max="7" man="1"/>
    <brk id="2149" max="7" man="1"/>
    <brk id="2212" max="7" man="1"/>
    <brk id="2272" max="7" man="1"/>
    <brk id="2332" max="7" man="1"/>
    <brk id="2392" max="7" man="1"/>
    <brk id="2450" max="7" man="1"/>
    <brk id="2510" max="7" man="1"/>
    <brk id="2570" max="7" man="1"/>
    <brk id="2630" max="7" man="1"/>
    <brk id="2690" max="7" man="1"/>
    <brk id="2736" max="7" man="1"/>
    <brk id="2796" max="7" man="1"/>
    <brk id="2856" max="7" man="1"/>
    <brk id="2916" max="7" man="1"/>
    <brk id="2977" max="7" man="1"/>
    <brk id="3045" max="7" man="1"/>
    <brk id="3104" max="7" man="1"/>
    <brk id="3165" max="7" man="1"/>
    <brk id="3228" max="7" man="1"/>
    <brk id="3291" max="7" man="1"/>
    <brk id="3355" max="7" man="1"/>
    <brk id="3421" max="7" man="1"/>
    <brk id="3472" max="7" man="1"/>
    <brk id="3528" max="7" man="1"/>
    <brk id="3595" max="7" man="1"/>
    <brk id="3636" max="7" man="1"/>
    <brk id="3691" max="7" man="1"/>
    <brk id="3738" max="7" man="1"/>
    <brk id="3797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1261"/>
  <sheetViews>
    <sheetView topLeftCell="A107" zoomScaleNormal="100" workbookViewId="0">
      <selection activeCell="B114" sqref="B114"/>
    </sheetView>
  </sheetViews>
  <sheetFormatPr defaultRowHeight="12.75"/>
  <cols>
    <col min="1" max="1" width="14.5703125" style="147" customWidth="1"/>
    <col min="2" max="2" width="51.140625" style="88" customWidth="1"/>
    <col min="3" max="3" width="12.28515625" style="308" customWidth="1"/>
    <col min="4" max="4" width="25" style="88" customWidth="1"/>
    <col min="5" max="5" width="9.140625" style="88"/>
  </cols>
  <sheetData>
    <row r="8" spans="1:7" ht="30" customHeight="1">
      <c r="A8" s="147" t="s">
        <v>1486</v>
      </c>
      <c r="B8" s="147" t="s">
        <v>1487</v>
      </c>
      <c r="C8" s="307" t="s">
        <v>1488</v>
      </c>
    </row>
    <row r="9" spans="1:7" ht="30" customHeight="1">
      <c r="A9" s="170">
        <v>4417</v>
      </c>
      <c r="B9" s="170" t="s">
        <v>530</v>
      </c>
      <c r="C9" s="307">
        <f>G9*0.91</f>
        <v>3.1577000000000002</v>
      </c>
      <c r="G9" s="307">
        <v>3.47</v>
      </c>
    </row>
    <row r="10" spans="1:7" ht="30" customHeight="1">
      <c r="A10" s="170">
        <v>4491</v>
      </c>
      <c r="B10" s="170" t="s">
        <v>531</v>
      </c>
      <c r="C10" s="307">
        <f t="shared" ref="C10:C73" si="0">G10*0.91</f>
        <v>4.5409000000000006</v>
      </c>
      <c r="G10" s="307">
        <v>4.99</v>
      </c>
    </row>
    <row r="11" spans="1:7" ht="30" customHeight="1">
      <c r="A11" s="170">
        <v>4813</v>
      </c>
      <c r="B11" s="170" t="s">
        <v>532</v>
      </c>
      <c r="C11" s="307">
        <f t="shared" si="0"/>
        <v>202.8117</v>
      </c>
      <c r="G11" s="307">
        <v>222.87</v>
      </c>
    </row>
    <row r="12" spans="1:7" ht="30" customHeight="1">
      <c r="A12" s="170">
        <v>5075</v>
      </c>
      <c r="B12" s="170" t="s">
        <v>533</v>
      </c>
      <c r="C12" s="307">
        <f t="shared" si="0"/>
        <v>6.0606</v>
      </c>
      <c r="G12" s="307">
        <v>6.66</v>
      </c>
    </row>
    <row r="13" spans="1:7" ht="30" customHeight="1">
      <c r="A13" s="170">
        <v>5652</v>
      </c>
      <c r="B13" s="170" t="s">
        <v>534</v>
      </c>
      <c r="C13" s="307">
        <f t="shared" si="0"/>
        <v>267.87670000000003</v>
      </c>
      <c r="G13" s="311">
        <v>294.37</v>
      </c>
    </row>
    <row r="14" spans="1:7" ht="30" customHeight="1">
      <c r="A14" s="170">
        <v>1213</v>
      </c>
      <c r="B14" s="170" t="s">
        <v>508</v>
      </c>
      <c r="C14" s="307">
        <f t="shared" si="0"/>
        <v>8.6722999999999999</v>
      </c>
      <c r="G14" s="307">
        <v>9.5299999999999994</v>
      </c>
    </row>
    <row r="15" spans="1:7" ht="30" customHeight="1">
      <c r="A15" s="170">
        <v>6111</v>
      </c>
      <c r="B15" s="170" t="s">
        <v>535</v>
      </c>
      <c r="C15" s="307">
        <f t="shared" si="0"/>
        <v>6.4064000000000005</v>
      </c>
      <c r="G15" s="307">
        <v>7.04</v>
      </c>
    </row>
    <row r="16" spans="1:7" ht="30" customHeight="1">
      <c r="A16" s="170">
        <v>6111</v>
      </c>
      <c r="B16" s="170" t="s">
        <v>535</v>
      </c>
      <c r="C16" s="307">
        <f t="shared" si="0"/>
        <v>6.4064000000000005</v>
      </c>
      <c r="G16" s="307">
        <f>G15</f>
        <v>7.04</v>
      </c>
    </row>
    <row r="17" spans="1:7" ht="30" customHeight="1">
      <c r="A17" s="310">
        <v>73586</v>
      </c>
      <c r="B17" s="310" t="s">
        <v>541</v>
      </c>
      <c r="C17" s="307">
        <f t="shared" si="0"/>
        <v>181.61780000000002</v>
      </c>
      <c r="G17" s="311">
        <v>199.58</v>
      </c>
    </row>
    <row r="18" spans="1:7" ht="30" customHeight="1">
      <c r="A18" s="170">
        <v>367</v>
      </c>
      <c r="B18" s="170" t="s">
        <v>544</v>
      </c>
      <c r="C18" s="307">
        <f t="shared" si="0"/>
        <v>40.950000000000003</v>
      </c>
      <c r="G18" s="307">
        <v>45</v>
      </c>
    </row>
    <row r="19" spans="1:7" ht="30" customHeight="1">
      <c r="A19" s="170">
        <v>938</v>
      </c>
      <c r="B19" s="170" t="s">
        <v>545</v>
      </c>
      <c r="C19" s="307">
        <f t="shared" si="0"/>
        <v>0.54600000000000004</v>
      </c>
      <c r="G19" s="307">
        <v>0.6</v>
      </c>
    </row>
    <row r="20" spans="1:7" ht="30" customHeight="1">
      <c r="A20" s="170">
        <v>1030</v>
      </c>
      <c r="B20" s="170" t="s">
        <v>546</v>
      </c>
      <c r="C20" s="307">
        <f t="shared" si="0"/>
        <v>18.791499999999999</v>
      </c>
      <c r="G20" s="307">
        <v>20.65</v>
      </c>
    </row>
    <row r="21" spans="1:7" ht="30" customHeight="1">
      <c r="A21" s="170">
        <v>1031</v>
      </c>
      <c r="B21" s="170" t="s">
        <v>547</v>
      </c>
      <c r="C21" s="307">
        <f t="shared" si="0"/>
        <v>3.1395000000000004</v>
      </c>
      <c r="G21" s="307">
        <v>3.45</v>
      </c>
    </row>
    <row r="22" spans="1:7" ht="30" customHeight="1">
      <c r="A22" s="170">
        <v>1357</v>
      </c>
      <c r="B22" s="170" t="s">
        <v>548</v>
      </c>
      <c r="C22" s="307">
        <f t="shared" si="0"/>
        <v>46.1188</v>
      </c>
      <c r="G22" s="307">
        <v>50.68</v>
      </c>
    </row>
    <row r="23" spans="1:7" ht="30" customHeight="1">
      <c r="A23" s="170">
        <v>1379</v>
      </c>
      <c r="B23" s="170" t="s">
        <v>549</v>
      </c>
      <c r="C23" s="307">
        <f t="shared" si="0"/>
        <v>0.50050000000000006</v>
      </c>
      <c r="G23" s="307">
        <v>0.55000000000000004</v>
      </c>
    </row>
    <row r="24" spans="1:7" ht="30" customHeight="1">
      <c r="A24" s="170">
        <v>1966</v>
      </c>
      <c r="B24" s="170" t="s">
        <v>550</v>
      </c>
      <c r="C24" s="307">
        <f t="shared" si="0"/>
        <v>11.284000000000001</v>
      </c>
      <c r="G24" s="307">
        <v>12.4</v>
      </c>
    </row>
    <row r="25" spans="1:7" ht="30" customHeight="1">
      <c r="A25" s="170">
        <v>2425</v>
      </c>
      <c r="B25" s="170" t="s">
        <v>551</v>
      </c>
      <c r="C25" s="307">
        <f t="shared" si="0"/>
        <v>3.4125000000000001</v>
      </c>
      <c r="G25" s="307">
        <v>3.75</v>
      </c>
    </row>
    <row r="26" spans="1:7" ht="30" customHeight="1">
      <c r="A26" s="170">
        <v>3080</v>
      </c>
      <c r="B26" s="170" t="s">
        <v>552</v>
      </c>
      <c r="C26" s="307">
        <f t="shared" si="0"/>
        <v>22.977499999999999</v>
      </c>
      <c r="G26" s="307">
        <v>25.25</v>
      </c>
    </row>
    <row r="27" spans="1:7" ht="30" customHeight="1">
      <c r="A27" s="170">
        <v>3764</v>
      </c>
      <c r="B27" s="170" t="s">
        <v>554</v>
      </c>
      <c r="C27" s="307">
        <f t="shared" si="0"/>
        <v>0.58240000000000003</v>
      </c>
      <c r="G27" s="307">
        <v>0.64</v>
      </c>
    </row>
    <row r="28" spans="1:7" ht="30" customHeight="1">
      <c r="A28" s="170">
        <v>4425</v>
      </c>
      <c r="B28" s="170" t="s">
        <v>555</v>
      </c>
      <c r="C28" s="307">
        <f t="shared" si="0"/>
        <v>11.420500000000001</v>
      </c>
      <c r="G28" s="307">
        <v>12.55</v>
      </c>
    </row>
    <row r="29" spans="1:7" ht="30" customHeight="1">
      <c r="A29" s="170">
        <v>4430</v>
      </c>
      <c r="B29" s="170" t="s">
        <v>556</v>
      </c>
      <c r="C29" s="307">
        <f t="shared" si="0"/>
        <v>4.7501999999999995</v>
      </c>
      <c r="G29" s="307">
        <v>5.22</v>
      </c>
    </row>
    <row r="30" spans="1:7" ht="30" customHeight="1">
      <c r="A30" s="170">
        <v>4509</v>
      </c>
      <c r="B30" s="170" t="s">
        <v>557</v>
      </c>
      <c r="C30" s="307">
        <f t="shared" si="0"/>
        <v>2.3386999999999998</v>
      </c>
      <c r="G30" s="307">
        <v>2.57</v>
      </c>
    </row>
    <row r="31" spans="1:7" ht="30" customHeight="1">
      <c r="A31" s="170">
        <v>4721</v>
      </c>
      <c r="B31" s="170" t="s">
        <v>558</v>
      </c>
      <c r="C31" s="307">
        <f t="shared" si="0"/>
        <v>81.900000000000006</v>
      </c>
      <c r="G31" s="307">
        <v>90</v>
      </c>
    </row>
    <row r="32" spans="1:7" ht="30" customHeight="1">
      <c r="A32" s="170">
        <v>5069</v>
      </c>
      <c r="B32" s="170" t="s">
        <v>559</v>
      </c>
      <c r="C32" s="307">
        <f t="shared" si="0"/>
        <v>6.0242000000000004</v>
      </c>
      <c r="G32" s="307">
        <v>6.62</v>
      </c>
    </row>
    <row r="33" spans="1:7" ht="30" customHeight="1">
      <c r="A33" s="170">
        <v>5088</v>
      </c>
      <c r="B33" s="170" t="s">
        <v>560</v>
      </c>
      <c r="C33" s="307">
        <f t="shared" si="0"/>
        <v>4.1040999999999999</v>
      </c>
      <c r="G33" s="307">
        <v>4.51</v>
      </c>
    </row>
    <row r="34" spans="1:7" ht="30" customHeight="1">
      <c r="A34" s="170">
        <v>6140</v>
      </c>
      <c r="B34" s="170" t="s">
        <v>561</v>
      </c>
      <c r="C34" s="307">
        <f t="shared" si="0"/>
        <v>1.5469999999999999</v>
      </c>
      <c r="G34" s="307">
        <v>1.7</v>
      </c>
    </row>
    <row r="35" spans="1:7" ht="30" customHeight="1">
      <c r="A35" s="170">
        <v>6141</v>
      </c>
      <c r="B35" s="170" t="s">
        <v>562</v>
      </c>
      <c r="C35" s="307">
        <f t="shared" si="0"/>
        <v>2.0202000000000004</v>
      </c>
      <c r="G35" s="307">
        <v>2.2200000000000002</v>
      </c>
    </row>
    <row r="36" spans="1:7" ht="30" customHeight="1">
      <c r="A36" s="170">
        <v>6146</v>
      </c>
      <c r="B36" s="170" t="s">
        <v>563</v>
      </c>
      <c r="C36" s="307">
        <f t="shared" si="0"/>
        <v>6.5429000000000004</v>
      </c>
      <c r="G36" s="307">
        <v>7.19</v>
      </c>
    </row>
    <row r="37" spans="1:7" ht="30" customHeight="1">
      <c r="A37" s="170">
        <v>6158</v>
      </c>
      <c r="B37" s="170" t="s">
        <v>564</v>
      </c>
      <c r="C37" s="307">
        <f t="shared" si="0"/>
        <v>1.8928</v>
      </c>
      <c r="G37" s="307">
        <v>2.08</v>
      </c>
    </row>
    <row r="38" spans="1:7" ht="30" customHeight="1">
      <c r="A38" s="170">
        <v>7191</v>
      </c>
      <c r="B38" s="170" t="s">
        <v>565</v>
      </c>
      <c r="C38" s="307">
        <f t="shared" si="0"/>
        <v>12.703600000000002</v>
      </c>
      <c r="G38" s="307">
        <v>13.96</v>
      </c>
    </row>
    <row r="39" spans="1:7" ht="30" customHeight="1">
      <c r="A39" s="170">
        <v>7608</v>
      </c>
      <c r="B39" s="170" t="s">
        <v>566</v>
      </c>
      <c r="C39" s="307">
        <f t="shared" si="0"/>
        <v>5.2143000000000006</v>
      </c>
      <c r="G39" s="307">
        <v>5.73</v>
      </c>
    </row>
    <row r="40" spans="1:7" ht="30" customHeight="1">
      <c r="A40" s="170">
        <v>9836</v>
      </c>
      <c r="B40" s="170" t="s">
        <v>567</v>
      </c>
      <c r="C40" s="307">
        <f t="shared" si="0"/>
        <v>6.5975000000000001</v>
      </c>
      <c r="G40" s="307">
        <v>7.25</v>
      </c>
    </row>
    <row r="41" spans="1:7" ht="30" customHeight="1">
      <c r="A41" s="170">
        <v>9868</v>
      </c>
      <c r="B41" s="170" t="s">
        <v>568</v>
      </c>
      <c r="C41" s="307">
        <f t="shared" si="0"/>
        <v>1.8836999999999999</v>
      </c>
      <c r="G41" s="307">
        <v>2.0699999999999998</v>
      </c>
    </row>
    <row r="42" spans="1:7" ht="30" customHeight="1">
      <c r="A42" s="170">
        <v>10420</v>
      </c>
      <c r="B42" s="170" t="s">
        <v>569</v>
      </c>
      <c r="C42" s="307">
        <f t="shared" si="0"/>
        <v>76.44</v>
      </c>
      <c r="G42" s="307">
        <v>84</v>
      </c>
    </row>
    <row r="43" spans="1:7" ht="30" customHeight="1">
      <c r="A43" s="170">
        <v>10425</v>
      </c>
      <c r="B43" s="170" t="s">
        <v>570</v>
      </c>
      <c r="C43" s="307">
        <f t="shared" si="0"/>
        <v>34.316099999999999</v>
      </c>
      <c r="G43" s="307">
        <v>37.71</v>
      </c>
    </row>
    <row r="44" spans="1:7" ht="30" customHeight="1">
      <c r="A44" s="170">
        <v>11753</v>
      </c>
      <c r="B44" s="170" t="s">
        <v>571</v>
      </c>
      <c r="C44" s="307">
        <f t="shared" si="0"/>
        <v>21.430500000000002</v>
      </c>
      <c r="G44" s="307">
        <v>23.55</v>
      </c>
    </row>
    <row r="45" spans="1:7" ht="30" customHeight="1">
      <c r="A45" s="170">
        <v>11865</v>
      </c>
      <c r="B45" s="170" t="s">
        <v>572</v>
      </c>
      <c r="C45" s="307">
        <f t="shared" si="0"/>
        <v>175.02940000000001</v>
      </c>
      <c r="G45" s="307">
        <v>192.34</v>
      </c>
    </row>
    <row r="46" spans="1:7" ht="30" customHeight="1">
      <c r="A46" s="170">
        <v>12128</v>
      </c>
      <c r="B46" s="170" t="s">
        <v>573</v>
      </c>
      <c r="C46" s="307">
        <f t="shared" si="0"/>
        <v>3.1031000000000004</v>
      </c>
      <c r="G46" s="307">
        <v>3.41</v>
      </c>
    </row>
    <row r="47" spans="1:7" ht="30" customHeight="1">
      <c r="A47" s="170">
        <v>12296</v>
      </c>
      <c r="B47" s="170" t="s">
        <v>574</v>
      </c>
      <c r="C47" s="307">
        <f t="shared" si="0"/>
        <v>1.5834000000000001</v>
      </c>
      <c r="G47" s="307">
        <v>1.74</v>
      </c>
    </row>
    <row r="48" spans="1:7" ht="30" customHeight="1">
      <c r="A48" s="170">
        <v>13415</v>
      </c>
      <c r="B48" s="170" t="s">
        <v>575</v>
      </c>
      <c r="C48" s="307">
        <f t="shared" si="0"/>
        <v>27.3</v>
      </c>
      <c r="G48" s="307">
        <v>30</v>
      </c>
    </row>
    <row r="49" spans="1:7" ht="30" customHeight="1">
      <c r="A49" s="170">
        <v>2436</v>
      </c>
      <c r="B49" s="170" t="s">
        <v>513</v>
      </c>
      <c r="C49" s="307">
        <f t="shared" si="0"/>
        <v>12.2759</v>
      </c>
      <c r="G49" s="307">
        <v>13.49</v>
      </c>
    </row>
    <row r="50" spans="1:7" ht="30" customHeight="1">
      <c r="A50" s="170">
        <v>2696</v>
      </c>
      <c r="B50" s="170" t="s">
        <v>517</v>
      </c>
      <c r="C50" s="307">
        <f t="shared" si="0"/>
        <v>8.6722999999999999</v>
      </c>
      <c r="G50" s="307">
        <v>9.5299999999999994</v>
      </c>
    </row>
    <row r="51" spans="1:7" ht="30" customHeight="1">
      <c r="A51" s="170">
        <v>4750</v>
      </c>
      <c r="B51" s="170" t="s">
        <v>576</v>
      </c>
      <c r="C51" s="307">
        <f t="shared" si="0"/>
        <v>8.6722999999999999</v>
      </c>
      <c r="G51" s="307">
        <v>9.5299999999999994</v>
      </c>
    </row>
    <row r="52" spans="1:7" ht="30" customHeight="1">
      <c r="A52" s="170">
        <v>6111</v>
      </c>
      <c r="B52" s="170" t="s">
        <v>535</v>
      </c>
      <c r="C52" s="307">
        <f t="shared" si="0"/>
        <v>6.4064000000000005</v>
      </c>
      <c r="G52" s="307">
        <f>G15</f>
        <v>7.04</v>
      </c>
    </row>
    <row r="53" spans="1:7" ht="30" customHeight="1">
      <c r="A53" s="170">
        <v>1213</v>
      </c>
      <c r="B53" s="170" t="s">
        <v>508</v>
      </c>
      <c r="C53" s="307">
        <f t="shared" si="0"/>
        <v>8.6722999999999999</v>
      </c>
      <c r="G53" s="307">
        <f>G14</f>
        <v>9.5299999999999994</v>
      </c>
    </row>
    <row r="54" spans="1:7" ht="30" customHeight="1">
      <c r="A54" s="170">
        <v>12769</v>
      </c>
      <c r="B54" s="170" t="s">
        <v>578</v>
      </c>
      <c r="C54" s="307">
        <f t="shared" si="0"/>
        <v>67.758600000000001</v>
      </c>
      <c r="G54" s="307">
        <v>74.459999999999994</v>
      </c>
    </row>
    <row r="55" spans="1:7" ht="30" customHeight="1">
      <c r="A55" s="170">
        <v>9868</v>
      </c>
      <c r="B55" s="170" t="s">
        <v>568</v>
      </c>
      <c r="C55" s="307">
        <f t="shared" si="0"/>
        <v>1.8836999999999999</v>
      </c>
      <c r="G55" s="307">
        <f>G41</f>
        <v>2.0699999999999998</v>
      </c>
    </row>
    <row r="56" spans="1:7" ht="30" customHeight="1">
      <c r="A56" s="170">
        <v>2696</v>
      </c>
      <c r="B56" s="170" t="s">
        <v>517</v>
      </c>
      <c r="C56" s="307">
        <f t="shared" si="0"/>
        <v>8.6722999999999999</v>
      </c>
      <c r="G56" s="307">
        <f>G50</f>
        <v>9.5299999999999994</v>
      </c>
    </row>
    <row r="57" spans="1:7" ht="30" customHeight="1">
      <c r="A57" s="170">
        <v>6116</v>
      </c>
      <c r="B57" s="170" t="s">
        <v>516</v>
      </c>
      <c r="C57" s="307">
        <f t="shared" si="0"/>
        <v>7.0706999999999995</v>
      </c>
      <c r="G57" s="307">
        <v>7.77</v>
      </c>
    </row>
    <row r="58" spans="1:7" ht="30" customHeight="1">
      <c r="A58" s="170">
        <v>392</v>
      </c>
      <c r="B58" s="170" t="s">
        <v>580</v>
      </c>
      <c r="C58" s="307">
        <f t="shared" si="0"/>
        <v>0.43680000000000002</v>
      </c>
      <c r="G58" s="307">
        <v>0.48</v>
      </c>
    </row>
    <row r="59" spans="1:7" ht="30" customHeight="1">
      <c r="A59" s="170">
        <v>12365</v>
      </c>
      <c r="B59" s="170" t="s">
        <v>581</v>
      </c>
      <c r="C59" s="307">
        <f t="shared" si="0"/>
        <v>3.6673000000000004</v>
      </c>
      <c r="G59" s="307">
        <v>4.03</v>
      </c>
    </row>
    <row r="60" spans="1:7" ht="30" customHeight="1">
      <c r="A60" s="170">
        <v>12353</v>
      </c>
      <c r="B60" s="170" t="s">
        <v>582</v>
      </c>
      <c r="C60" s="307">
        <f t="shared" si="0"/>
        <v>1.365</v>
      </c>
      <c r="G60" s="307">
        <v>1.5</v>
      </c>
    </row>
    <row r="61" spans="1:7" ht="30" customHeight="1">
      <c r="A61" s="170">
        <v>12346</v>
      </c>
      <c r="B61" s="170" t="s">
        <v>583</v>
      </c>
      <c r="C61" s="307">
        <f t="shared" si="0"/>
        <v>5.7603</v>
      </c>
      <c r="G61" s="307">
        <v>6.33</v>
      </c>
    </row>
    <row r="62" spans="1:7" ht="30" customHeight="1">
      <c r="A62" s="170">
        <v>12056</v>
      </c>
      <c r="B62" s="170" t="s">
        <v>584</v>
      </c>
      <c r="C62" s="307">
        <f t="shared" si="0"/>
        <v>5.8148999999999997</v>
      </c>
      <c r="G62" s="307">
        <v>6.39</v>
      </c>
    </row>
    <row r="63" spans="1:7" ht="30" customHeight="1">
      <c r="A63" s="170">
        <v>2673</v>
      </c>
      <c r="B63" s="170" t="s">
        <v>585</v>
      </c>
      <c r="C63" s="307">
        <f t="shared" si="0"/>
        <v>1.4378000000000002</v>
      </c>
      <c r="G63" s="307">
        <v>1.58</v>
      </c>
    </row>
    <row r="64" spans="1:7" ht="30" customHeight="1">
      <c r="A64" s="170">
        <v>3406</v>
      </c>
      <c r="B64" s="170" t="s">
        <v>586</v>
      </c>
      <c r="C64" s="307">
        <f t="shared" si="0"/>
        <v>11.4114</v>
      </c>
      <c r="G64" s="307">
        <v>12.54</v>
      </c>
    </row>
    <row r="65" spans="1:7" ht="30" customHeight="1">
      <c r="A65" s="170">
        <v>1875</v>
      </c>
      <c r="B65" s="170" t="s">
        <v>587</v>
      </c>
      <c r="C65" s="307">
        <f t="shared" si="0"/>
        <v>4.55</v>
      </c>
      <c r="G65" s="307">
        <v>5</v>
      </c>
    </row>
    <row r="66" spans="1:7" ht="30" customHeight="1">
      <c r="A66" s="170">
        <v>979</v>
      </c>
      <c r="B66" s="170" t="s">
        <v>588</v>
      </c>
      <c r="C66" s="307">
        <f t="shared" si="0"/>
        <v>5.5145999999999997</v>
      </c>
      <c r="G66" s="307">
        <v>6.06</v>
      </c>
    </row>
    <row r="67" spans="1:7" ht="30" customHeight="1">
      <c r="A67" s="170">
        <v>4481</v>
      </c>
      <c r="B67" s="170" t="s">
        <v>589</v>
      </c>
      <c r="C67" s="307">
        <f t="shared" si="0"/>
        <v>17.735900000000001</v>
      </c>
      <c r="G67" s="307">
        <v>19.489999999999998</v>
      </c>
    </row>
    <row r="68" spans="1:7" ht="30" customHeight="1">
      <c r="A68" s="170">
        <v>7701</v>
      </c>
      <c r="B68" s="170" t="s">
        <v>590</v>
      </c>
      <c r="C68" s="307">
        <f t="shared" si="0"/>
        <v>39.2301</v>
      </c>
      <c r="G68" s="307">
        <v>43.11</v>
      </c>
    </row>
    <row r="69" spans="1:7" ht="30" customHeight="1">
      <c r="A69" s="170">
        <v>12092</v>
      </c>
      <c r="B69" s="170" t="s">
        <v>591</v>
      </c>
      <c r="C69" s="307">
        <f t="shared" si="0"/>
        <v>44.134999999999998</v>
      </c>
      <c r="G69" s="307">
        <v>48.5</v>
      </c>
    </row>
    <row r="70" spans="1:7" ht="30" customHeight="1">
      <c r="A70" s="170">
        <v>2436</v>
      </c>
      <c r="B70" s="170" t="s">
        <v>513</v>
      </c>
      <c r="C70" s="307">
        <f t="shared" si="0"/>
        <v>12.2759</v>
      </c>
      <c r="G70" s="307">
        <f>G49</f>
        <v>13.49</v>
      </c>
    </row>
    <row r="71" spans="1:7" ht="30" customHeight="1">
      <c r="A71" s="170">
        <v>6111</v>
      </c>
      <c r="B71" s="170" t="s">
        <v>535</v>
      </c>
      <c r="C71" s="307">
        <f t="shared" si="0"/>
        <v>6.4064000000000005</v>
      </c>
      <c r="G71" s="307">
        <f>G15</f>
        <v>7.04</v>
      </c>
    </row>
    <row r="72" spans="1:7" ht="30" customHeight="1">
      <c r="A72" s="170">
        <v>342</v>
      </c>
      <c r="B72" s="170" t="s">
        <v>592</v>
      </c>
      <c r="C72" s="307">
        <f t="shared" si="0"/>
        <v>9.7825000000000006</v>
      </c>
      <c r="G72" s="307">
        <v>10.75</v>
      </c>
    </row>
    <row r="73" spans="1:7" ht="30" customHeight="1">
      <c r="A73" s="170">
        <v>4491</v>
      </c>
      <c r="B73" s="170" t="s">
        <v>531</v>
      </c>
      <c r="C73" s="307">
        <f t="shared" si="0"/>
        <v>4.5409000000000006</v>
      </c>
      <c r="G73" s="307">
        <v>4.99</v>
      </c>
    </row>
    <row r="74" spans="1:7" ht="30" customHeight="1">
      <c r="A74" s="170">
        <v>5075</v>
      </c>
      <c r="B74" s="170" t="s">
        <v>533</v>
      </c>
      <c r="C74" s="307">
        <f t="shared" ref="C74:C137" si="1">G74*0.91</f>
        <v>6.0606</v>
      </c>
      <c r="G74" s="307">
        <v>6.66</v>
      </c>
    </row>
    <row r="75" spans="1:7" ht="30" customHeight="1">
      <c r="A75" s="170">
        <v>6212</v>
      </c>
      <c r="B75" s="170" t="s">
        <v>593</v>
      </c>
      <c r="C75" s="307">
        <f t="shared" si="1"/>
        <v>5.3417000000000003</v>
      </c>
      <c r="G75" s="307">
        <v>5.87</v>
      </c>
    </row>
    <row r="76" spans="1:7" ht="30" customHeight="1">
      <c r="A76" s="170">
        <v>7170</v>
      </c>
      <c r="B76" s="170" t="s">
        <v>594</v>
      </c>
      <c r="C76" s="307">
        <f t="shared" si="1"/>
        <v>3.5945000000000005</v>
      </c>
      <c r="G76" s="307">
        <v>3.95</v>
      </c>
    </row>
    <row r="77" spans="1:7" ht="30" customHeight="1">
      <c r="A77" s="170">
        <v>4435</v>
      </c>
      <c r="B77" s="170" t="s">
        <v>595</v>
      </c>
      <c r="C77" s="307">
        <f t="shared" si="1"/>
        <v>10.283000000000001</v>
      </c>
      <c r="G77" s="307">
        <v>11.3</v>
      </c>
    </row>
    <row r="78" spans="1:7" ht="30" customHeight="1">
      <c r="A78" s="170">
        <v>6111</v>
      </c>
      <c r="B78" s="170" t="s">
        <v>535</v>
      </c>
      <c r="C78" s="307">
        <f t="shared" si="1"/>
        <v>6.4064000000000005</v>
      </c>
      <c r="G78" s="307">
        <f>G15</f>
        <v>7.04</v>
      </c>
    </row>
    <row r="79" spans="1:7" ht="30" customHeight="1">
      <c r="A79" s="170">
        <v>1214</v>
      </c>
      <c r="B79" s="170" t="s">
        <v>511</v>
      </c>
      <c r="C79" s="307">
        <f t="shared" si="1"/>
        <v>8.5449000000000002</v>
      </c>
      <c r="G79" s="307">
        <v>9.39</v>
      </c>
    </row>
    <row r="80" spans="1:7" ht="30" customHeight="1">
      <c r="A80" s="170">
        <v>337</v>
      </c>
      <c r="B80" s="170" t="s">
        <v>597</v>
      </c>
      <c r="C80" s="307">
        <f t="shared" si="1"/>
        <v>6.8250000000000002</v>
      </c>
      <c r="G80" s="307">
        <v>7.5</v>
      </c>
    </row>
    <row r="81" spans="1:7" ht="30" customHeight="1">
      <c r="A81" s="170">
        <v>5061</v>
      </c>
      <c r="B81" s="170" t="s">
        <v>598</v>
      </c>
      <c r="C81" s="307">
        <f t="shared" si="1"/>
        <v>6.5156000000000001</v>
      </c>
      <c r="G81" s="307">
        <v>7.16</v>
      </c>
    </row>
    <row r="82" spans="1:7" ht="30" customHeight="1">
      <c r="A82" s="170">
        <v>6188</v>
      </c>
      <c r="B82" s="170" t="s">
        <v>599</v>
      </c>
      <c r="C82" s="307">
        <f t="shared" si="1"/>
        <v>5.3417000000000003</v>
      </c>
      <c r="G82" s="307">
        <v>5.87</v>
      </c>
    </row>
    <row r="83" spans="1:7" ht="30" customHeight="1">
      <c r="A83" s="170">
        <v>4493</v>
      </c>
      <c r="B83" s="170" t="s">
        <v>600</v>
      </c>
      <c r="C83" s="307">
        <f t="shared" si="1"/>
        <v>4.2133000000000003</v>
      </c>
      <c r="G83" s="307">
        <v>4.63</v>
      </c>
    </row>
    <row r="84" spans="1:7" ht="30" customHeight="1">
      <c r="A84" s="170">
        <v>6115</v>
      </c>
      <c r="B84" s="170" t="s">
        <v>509</v>
      </c>
      <c r="C84" s="307">
        <f t="shared" si="1"/>
        <v>6.4064000000000005</v>
      </c>
      <c r="G84" s="307">
        <v>7.04</v>
      </c>
    </row>
    <row r="85" spans="1:7" ht="30" customHeight="1">
      <c r="A85" s="170">
        <v>1213</v>
      </c>
      <c r="B85" s="170" t="s">
        <v>508</v>
      </c>
      <c r="C85" s="307">
        <f t="shared" si="1"/>
        <v>8.6722999999999999</v>
      </c>
      <c r="G85" s="307">
        <f>G14</f>
        <v>9.5299999999999994</v>
      </c>
    </row>
    <row r="86" spans="1:7" ht="30" customHeight="1">
      <c r="A86" s="170">
        <v>1139</v>
      </c>
      <c r="B86" s="170" t="s">
        <v>601</v>
      </c>
      <c r="C86" s="307">
        <f t="shared" si="1"/>
        <v>38.019800000000004</v>
      </c>
      <c r="G86" s="307">
        <v>41.78</v>
      </c>
    </row>
    <row r="87" spans="1:7" ht="30" customHeight="1">
      <c r="A87" s="170">
        <v>6115</v>
      </c>
      <c r="B87" s="170" t="s">
        <v>509</v>
      </c>
      <c r="C87" s="307">
        <f t="shared" si="1"/>
        <v>6.4064000000000005</v>
      </c>
      <c r="G87" s="307">
        <f>G84</f>
        <v>7.04</v>
      </c>
    </row>
    <row r="88" spans="1:7" ht="30" customHeight="1">
      <c r="A88" s="310">
        <v>30001563</v>
      </c>
      <c r="B88" s="310" t="s">
        <v>602</v>
      </c>
      <c r="C88" s="307">
        <f t="shared" si="1"/>
        <v>12.6035</v>
      </c>
      <c r="G88" s="616">
        <v>13.85</v>
      </c>
    </row>
    <row r="89" spans="1:7" ht="30" customHeight="1">
      <c r="A89" s="312"/>
      <c r="B89" s="310" t="s">
        <v>1157</v>
      </c>
      <c r="C89" s="307">
        <f t="shared" si="1"/>
        <v>97.497399999999999</v>
      </c>
      <c r="G89" s="616">
        <v>107.14</v>
      </c>
    </row>
    <row r="90" spans="1:7" ht="30" customHeight="1">
      <c r="A90" s="170" t="s">
        <v>521</v>
      </c>
      <c r="B90" s="170" t="s">
        <v>498</v>
      </c>
      <c r="C90" s="307">
        <f t="shared" si="1"/>
        <v>352.77060000000006</v>
      </c>
      <c r="G90" s="311">
        <v>387.66</v>
      </c>
    </row>
    <row r="91" spans="1:7" ht="30" customHeight="1">
      <c r="A91" s="170">
        <v>6111</v>
      </c>
      <c r="B91" s="170" t="s">
        <v>535</v>
      </c>
      <c r="C91" s="307">
        <f t="shared" si="1"/>
        <v>6.4064000000000005</v>
      </c>
      <c r="G91" s="307">
        <f>G15</f>
        <v>7.04</v>
      </c>
    </row>
    <row r="92" spans="1:7" ht="30" customHeight="1">
      <c r="A92" s="170">
        <v>4750</v>
      </c>
      <c r="B92" s="170" t="s">
        <v>576</v>
      </c>
      <c r="C92" s="307">
        <f t="shared" si="1"/>
        <v>8.6722999999999999</v>
      </c>
      <c r="G92" s="307">
        <f>G51</f>
        <v>9.5299999999999994</v>
      </c>
    </row>
    <row r="93" spans="1:7" ht="30" customHeight="1">
      <c r="A93" s="170">
        <v>6111</v>
      </c>
      <c r="B93" s="170" t="s">
        <v>535</v>
      </c>
      <c r="C93" s="307">
        <f t="shared" si="1"/>
        <v>6.4064000000000005</v>
      </c>
      <c r="G93" s="307">
        <f>G15</f>
        <v>7.04</v>
      </c>
    </row>
    <row r="94" spans="1:7" ht="30" customHeight="1">
      <c r="A94" s="170">
        <v>6079</v>
      </c>
      <c r="B94" s="170" t="s">
        <v>1108</v>
      </c>
      <c r="C94" s="307">
        <f t="shared" si="1"/>
        <v>4.2151199999999998</v>
      </c>
      <c r="G94" s="307">
        <v>4.6319999999999997</v>
      </c>
    </row>
    <row r="95" spans="1:7" ht="30" customHeight="1">
      <c r="A95" s="170">
        <v>6111</v>
      </c>
      <c r="B95" s="170" t="s">
        <v>535</v>
      </c>
      <c r="C95" s="307">
        <f t="shared" si="1"/>
        <v>6.4064000000000005</v>
      </c>
      <c r="G95" s="307">
        <f>G15</f>
        <v>7.04</v>
      </c>
    </row>
    <row r="96" spans="1:7" ht="30" customHeight="1">
      <c r="A96" s="170">
        <v>6212</v>
      </c>
      <c r="B96" s="170" t="s">
        <v>593</v>
      </c>
      <c r="C96" s="307">
        <f t="shared" si="1"/>
        <v>5.3417000000000003</v>
      </c>
      <c r="G96" s="307">
        <f>G75</f>
        <v>5.87</v>
      </c>
    </row>
    <row r="97" spans="1:7" ht="30" customHeight="1">
      <c r="A97" s="170">
        <v>5061</v>
      </c>
      <c r="B97" s="170" t="s">
        <v>598</v>
      </c>
      <c r="C97" s="307">
        <f t="shared" si="1"/>
        <v>6.5156000000000001</v>
      </c>
      <c r="G97" s="307">
        <f>G81</f>
        <v>7.16</v>
      </c>
    </row>
    <row r="98" spans="1:7" ht="30" customHeight="1">
      <c r="A98" s="170">
        <v>4512</v>
      </c>
      <c r="B98" s="170" t="s">
        <v>610</v>
      </c>
      <c r="C98" s="307">
        <f t="shared" si="1"/>
        <v>1.4378000000000002</v>
      </c>
      <c r="G98" s="307">
        <v>1.58</v>
      </c>
    </row>
    <row r="99" spans="1:7" ht="30" customHeight="1">
      <c r="A99" s="170">
        <v>4491</v>
      </c>
      <c r="B99" s="170" t="s">
        <v>531</v>
      </c>
      <c r="C99" s="307">
        <f t="shared" si="1"/>
        <v>4.5409000000000006</v>
      </c>
      <c r="G99" s="307">
        <f>G10</f>
        <v>4.99</v>
      </c>
    </row>
    <row r="100" spans="1:7" ht="30" customHeight="1">
      <c r="A100" s="170">
        <v>2692</v>
      </c>
      <c r="B100" s="170" t="s">
        <v>611</v>
      </c>
      <c r="C100" s="307">
        <f t="shared" si="1"/>
        <v>8.0899000000000001</v>
      </c>
      <c r="G100" s="307">
        <v>8.89</v>
      </c>
    </row>
    <row r="101" spans="1:7" ht="30" customHeight="1">
      <c r="A101" s="170">
        <v>6111</v>
      </c>
      <c r="B101" s="170" t="s">
        <v>535</v>
      </c>
      <c r="C101" s="307">
        <f t="shared" si="1"/>
        <v>6.4064000000000005</v>
      </c>
      <c r="G101" s="307">
        <f>G15</f>
        <v>7.04</v>
      </c>
    </row>
    <row r="102" spans="1:7" ht="30" customHeight="1">
      <c r="A102" s="170">
        <v>1213</v>
      </c>
      <c r="B102" s="170" t="s">
        <v>508</v>
      </c>
      <c r="C102" s="307">
        <f t="shared" si="1"/>
        <v>8.6722999999999999</v>
      </c>
      <c r="G102" s="307">
        <f>G85</f>
        <v>9.5299999999999994</v>
      </c>
    </row>
    <row r="103" spans="1:7" ht="30" customHeight="1">
      <c r="A103" s="170">
        <v>39</v>
      </c>
      <c r="B103" s="170" t="s">
        <v>614</v>
      </c>
      <c r="C103" s="307">
        <f t="shared" si="1"/>
        <v>3.4579999999999997</v>
      </c>
      <c r="G103" s="307">
        <v>3.8</v>
      </c>
    </row>
    <row r="104" spans="1:7" ht="30" customHeight="1">
      <c r="A104" s="170">
        <v>337</v>
      </c>
      <c r="B104" s="170" t="s">
        <v>597</v>
      </c>
      <c r="C104" s="307">
        <f t="shared" si="1"/>
        <v>6.8250000000000002</v>
      </c>
      <c r="G104" s="307">
        <v>7.5</v>
      </c>
    </row>
    <row r="105" spans="1:7" ht="30" customHeight="1">
      <c r="A105" s="170">
        <v>378</v>
      </c>
      <c r="B105" s="170" t="s">
        <v>615</v>
      </c>
      <c r="C105" s="307">
        <f t="shared" si="1"/>
        <v>8.6722999999999999</v>
      </c>
      <c r="G105" s="307">
        <v>9.5299999999999994</v>
      </c>
    </row>
    <row r="106" spans="1:7" ht="30" customHeight="1">
      <c r="A106" s="170">
        <v>6111</v>
      </c>
      <c r="B106" s="170" t="s">
        <v>535</v>
      </c>
      <c r="C106" s="307">
        <f t="shared" si="1"/>
        <v>6.4064000000000005</v>
      </c>
      <c r="G106" s="307">
        <f>G101</f>
        <v>7.04</v>
      </c>
    </row>
    <row r="107" spans="1:7" ht="30" customHeight="1">
      <c r="A107" s="170">
        <v>34</v>
      </c>
      <c r="B107" s="170" t="s">
        <v>617</v>
      </c>
      <c r="C107" s="307">
        <f t="shared" si="1"/>
        <v>3.5489999999999999</v>
      </c>
      <c r="G107" s="307">
        <v>3.9</v>
      </c>
    </row>
    <row r="108" spans="1:7" ht="30" customHeight="1">
      <c r="A108" s="170">
        <v>337</v>
      </c>
      <c r="B108" s="170" t="s">
        <v>597</v>
      </c>
      <c r="C108" s="307">
        <f t="shared" si="1"/>
        <v>6.8250000000000002</v>
      </c>
      <c r="G108" s="307">
        <f>G104</f>
        <v>7.5</v>
      </c>
    </row>
    <row r="109" spans="1:7" ht="30" customHeight="1">
      <c r="A109" s="170">
        <v>378</v>
      </c>
      <c r="B109" s="170" t="s">
        <v>615</v>
      </c>
      <c r="C109" s="307">
        <f t="shared" si="1"/>
        <v>8.6722999999999999</v>
      </c>
      <c r="G109" s="307">
        <f>G105</f>
        <v>9.5299999999999994</v>
      </c>
    </row>
    <row r="110" spans="1:7" ht="30" customHeight="1">
      <c r="A110" s="170">
        <v>6111</v>
      </c>
      <c r="B110" s="170" t="s">
        <v>535</v>
      </c>
      <c r="C110" s="307">
        <f t="shared" si="1"/>
        <v>6.4064000000000005</v>
      </c>
      <c r="G110" s="307">
        <f>G101</f>
        <v>7.04</v>
      </c>
    </row>
    <row r="111" spans="1:7" ht="30" customHeight="1">
      <c r="A111" s="245">
        <v>4720</v>
      </c>
      <c r="B111" s="245" t="s">
        <v>1466</v>
      </c>
      <c r="C111" s="307">
        <f t="shared" si="1"/>
        <v>93.629900000000006</v>
      </c>
      <c r="G111" s="307">
        <v>102.89</v>
      </c>
    </row>
    <row r="112" spans="1:7" ht="30" customHeight="1">
      <c r="A112" s="245">
        <v>4721</v>
      </c>
      <c r="B112" s="245" t="s">
        <v>558</v>
      </c>
      <c r="C112" s="307">
        <f t="shared" si="1"/>
        <v>81.900000000000006</v>
      </c>
      <c r="G112" s="307">
        <v>90</v>
      </c>
    </row>
    <row r="113" spans="1:7" ht="30" customHeight="1">
      <c r="A113" s="245">
        <v>6111</v>
      </c>
      <c r="B113" s="245" t="s">
        <v>535</v>
      </c>
      <c r="C113" s="307">
        <f t="shared" si="1"/>
        <v>6.4064000000000005</v>
      </c>
      <c r="G113" s="307">
        <f>G110</f>
        <v>7.04</v>
      </c>
    </row>
    <row r="114" spans="1:7" ht="30" customHeight="1">
      <c r="A114" s="170">
        <v>370</v>
      </c>
      <c r="B114" s="170" t="s">
        <v>618</v>
      </c>
      <c r="C114" s="307">
        <f t="shared" si="1"/>
        <v>31.85</v>
      </c>
      <c r="G114" s="307">
        <v>35</v>
      </c>
    </row>
    <row r="115" spans="1:7" ht="30" customHeight="1">
      <c r="A115" s="170">
        <v>1379</v>
      </c>
      <c r="B115" s="170" t="s">
        <v>549</v>
      </c>
      <c r="C115" s="307">
        <f t="shared" si="1"/>
        <v>0.50050000000000006</v>
      </c>
      <c r="G115" s="307">
        <f>G23</f>
        <v>0.55000000000000004</v>
      </c>
    </row>
    <row r="116" spans="1:7" ht="30" customHeight="1">
      <c r="A116" s="170">
        <v>10533</v>
      </c>
      <c r="B116" s="170" t="s">
        <v>606</v>
      </c>
      <c r="C116" s="307">
        <f t="shared" si="1"/>
        <v>6.8250000000000002</v>
      </c>
      <c r="G116" s="307">
        <v>7.5</v>
      </c>
    </row>
    <row r="117" spans="1:7" ht="30" customHeight="1">
      <c r="A117" s="170">
        <v>4721</v>
      </c>
      <c r="B117" s="170" t="s">
        <v>558</v>
      </c>
      <c r="C117" s="307">
        <f t="shared" si="1"/>
        <v>81.900000000000006</v>
      </c>
      <c r="G117" s="307">
        <f>G31</f>
        <v>90</v>
      </c>
    </row>
    <row r="118" spans="1:7" ht="30" customHeight="1">
      <c r="A118" s="170">
        <v>6111</v>
      </c>
      <c r="B118" s="170" t="s">
        <v>535</v>
      </c>
      <c r="C118" s="307">
        <f t="shared" si="1"/>
        <v>6.4064000000000005</v>
      </c>
      <c r="G118" s="307">
        <f>G106</f>
        <v>7.04</v>
      </c>
    </row>
    <row r="119" spans="1:7" ht="30" customHeight="1">
      <c r="A119" s="170">
        <v>4230</v>
      </c>
      <c r="B119" s="170" t="s">
        <v>519</v>
      </c>
      <c r="C119" s="307">
        <f t="shared" si="1"/>
        <v>14.0868</v>
      </c>
      <c r="G119" s="307">
        <v>15.48</v>
      </c>
    </row>
    <row r="120" spans="1:7" ht="30" customHeight="1">
      <c r="A120" s="170">
        <v>10485</v>
      </c>
      <c r="B120" s="170" t="s">
        <v>619</v>
      </c>
      <c r="C120" s="307">
        <f t="shared" si="1"/>
        <v>1.7381</v>
      </c>
      <c r="G120" s="307">
        <v>1.91</v>
      </c>
    </row>
    <row r="121" spans="1:7" ht="30" customHeight="1">
      <c r="A121" s="170">
        <v>4750</v>
      </c>
      <c r="B121" s="170" t="s">
        <v>576</v>
      </c>
      <c r="C121" s="307">
        <f t="shared" si="1"/>
        <v>8.6722999999999999</v>
      </c>
      <c r="G121" s="307">
        <f>G92</f>
        <v>9.5299999999999994</v>
      </c>
    </row>
    <row r="122" spans="1:7" ht="30" customHeight="1">
      <c r="A122" s="170">
        <v>6111</v>
      </c>
      <c r="B122" s="170" t="s">
        <v>535</v>
      </c>
      <c r="C122" s="307">
        <f t="shared" si="1"/>
        <v>6.4064000000000005</v>
      </c>
      <c r="G122" s="307">
        <f>G113</f>
        <v>7.04</v>
      </c>
    </row>
    <row r="123" spans="1:7" ht="30" customHeight="1">
      <c r="A123" s="170">
        <v>6111</v>
      </c>
      <c r="B123" s="170" t="s">
        <v>535</v>
      </c>
      <c r="C123" s="307">
        <f t="shared" si="1"/>
        <v>6.4064000000000005</v>
      </c>
      <c r="G123" s="307">
        <f>G122</f>
        <v>7.04</v>
      </c>
    </row>
    <row r="124" spans="1:7" ht="30" customHeight="1">
      <c r="A124" s="170">
        <v>6079</v>
      </c>
      <c r="B124" s="170" t="s">
        <v>608</v>
      </c>
      <c r="C124" s="307">
        <f t="shared" si="1"/>
        <v>4.2151199999999998</v>
      </c>
      <c r="G124" s="307">
        <f>G94</f>
        <v>4.6319999999999997</v>
      </c>
    </row>
    <row r="125" spans="1:7" ht="30" customHeight="1">
      <c r="A125" s="170">
        <v>6111</v>
      </c>
      <c r="B125" s="170" t="s">
        <v>535</v>
      </c>
      <c r="C125" s="307">
        <f t="shared" si="1"/>
        <v>6.4064000000000005</v>
      </c>
      <c r="G125" s="307">
        <f>G123</f>
        <v>7.04</v>
      </c>
    </row>
    <row r="126" spans="1:7" ht="30" customHeight="1">
      <c r="A126" s="170">
        <v>7332</v>
      </c>
      <c r="B126" s="170" t="s">
        <v>621</v>
      </c>
      <c r="C126" s="307">
        <f t="shared" si="1"/>
        <v>7.2526999999999999</v>
      </c>
      <c r="G126" s="307">
        <v>7.97</v>
      </c>
    </row>
    <row r="127" spans="1:7" ht="30" customHeight="1">
      <c r="A127" s="170">
        <v>6212</v>
      </c>
      <c r="B127" s="170" t="s">
        <v>593</v>
      </c>
      <c r="C127" s="307">
        <f t="shared" si="1"/>
        <v>5.3417000000000003</v>
      </c>
      <c r="G127" s="307">
        <f>G75</f>
        <v>5.87</v>
      </c>
    </row>
    <row r="128" spans="1:7" ht="30" customHeight="1">
      <c r="A128" s="170">
        <v>5061</v>
      </c>
      <c r="B128" s="170" t="s">
        <v>598</v>
      </c>
      <c r="C128" s="307">
        <f t="shared" si="1"/>
        <v>6.5156000000000001</v>
      </c>
      <c r="G128" s="307">
        <f>G81</f>
        <v>7.16</v>
      </c>
    </row>
    <row r="129" spans="1:7" ht="30" customHeight="1">
      <c r="A129" s="170">
        <v>4509</v>
      </c>
      <c r="B129" s="170" t="s">
        <v>557</v>
      </c>
      <c r="C129" s="307">
        <f t="shared" si="1"/>
        <v>2.3386999999999998</v>
      </c>
      <c r="G129" s="307">
        <f>G30</f>
        <v>2.57</v>
      </c>
    </row>
    <row r="130" spans="1:7" ht="30" customHeight="1">
      <c r="A130" s="170">
        <v>4491</v>
      </c>
      <c r="B130" s="170" t="s">
        <v>531</v>
      </c>
      <c r="C130" s="307">
        <f t="shared" si="1"/>
        <v>4.5409000000000006</v>
      </c>
      <c r="G130" s="307">
        <f>G99</f>
        <v>4.99</v>
      </c>
    </row>
    <row r="131" spans="1:7" ht="30" customHeight="1">
      <c r="A131" s="170">
        <v>1357</v>
      </c>
      <c r="B131" s="170" t="s">
        <v>548</v>
      </c>
      <c r="C131" s="307">
        <f t="shared" si="1"/>
        <v>46.1188</v>
      </c>
      <c r="G131" s="307">
        <f>G22</f>
        <v>50.68</v>
      </c>
    </row>
    <row r="132" spans="1:7" ht="30" customHeight="1">
      <c r="A132" s="170">
        <v>1213</v>
      </c>
      <c r="B132" s="170" t="s">
        <v>508</v>
      </c>
      <c r="C132" s="307">
        <f t="shared" si="1"/>
        <v>8.6722999999999999</v>
      </c>
      <c r="G132" s="307">
        <f>G85</f>
        <v>9.5299999999999994</v>
      </c>
    </row>
    <row r="133" spans="1:7" ht="30" customHeight="1">
      <c r="A133" s="170">
        <v>6111</v>
      </c>
      <c r="B133" s="170" t="s">
        <v>535</v>
      </c>
      <c r="C133" s="307">
        <f t="shared" si="1"/>
        <v>6.4064000000000005</v>
      </c>
      <c r="G133" s="307">
        <f>G125</f>
        <v>7.04</v>
      </c>
    </row>
    <row r="134" spans="1:7" ht="30" customHeight="1">
      <c r="A134" s="170">
        <v>39</v>
      </c>
      <c r="B134" s="170" t="s">
        <v>614</v>
      </c>
      <c r="C134" s="307">
        <f t="shared" si="1"/>
        <v>3.4579999999999997</v>
      </c>
      <c r="G134" s="307">
        <v>3.8</v>
      </c>
    </row>
    <row r="135" spans="1:7" ht="30" customHeight="1">
      <c r="A135" s="170">
        <v>337</v>
      </c>
      <c r="B135" s="170" t="s">
        <v>597</v>
      </c>
      <c r="C135" s="307">
        <f t="shared" si="1"/>
        <v>6.8250000000000002</v>
      </c>
      <c r="G135" s="307">
        <f>G104</f>
        <v>7.5</v>
      </c>
    </row>
    <row r="136" spans="1:7" ht="30" customHeight="1">
      <c r="A136" s="170">
        <v>378</v>
      </c>
      <c r="B136" s="170" t="s">
        <v>615</v>
      </c>
      <c r="C136" s="307">
        <f t="shared" si="1"/>
        <v>8.6722999999999999</v>
      </c>
      <c r="G136" s="307">
        <f>G109</f>
        <v>9.5299999999999994</v>
      </c>
    </row>
    <row r="137" spans="1:7" ht="30" customHeight="1">
      <c r="A137" s="170">
        <v>6111</v>
      </c>
      <c r="B137" s="170" t="s">
        <v>535</v>
      </c>
      <c r="C137" s="307">
        <f t="shared" si="1"/>
        <v>6.4064000000000005</v>
      </c>
      <c r="G137" s="307">
        <f>G133</f>
        <v>7.04</v>
      </c>
    </row>
    <row r="138" spans="1:7" ht="30" customHeight="1">
      <c r="A138" s="170">
        <v>34</v>
      </c>
      <c r="B138" s="170" t="s">
        <v>617</v>
      </c>
      <c r="C138" s="307">
        <f t="shared" ref="C138:C201" si="2">G138*0.91</f>
        <v>3.5489999999999999</v>
      </c>
      <c r="G138" s="307">
        <f>G107</f>
        <v>3.9</v>
      </c>
    </row>
    <row r="139" spans="1:7" ht="30" customHeight="1">
      <c r="A139" s="170">
        <v>337</v>
      </c>
      <c r="B139" s="170" t="s">
        <v>597</v>
      </c>
      <c r="C139" s="307">
        <f t="shared" si="2"/>
        <v>6.8250000000000002</v>
      </c>
      <c r="G139" s="307">
        <f>G104</f>
        <v>7.5</v>
      </c>
    </row>
    <row r="140" spans="1:7" ht="30" customHeight="1">
      <c r="A140" s="170">
        <v>378</v>
      </c>
      <c r="B140" s="170" t="s">
        <v>615</v>
      </c>
      <c r="C140" s="307">
        <f t="shared" si="2"/>
        <v>8.6722999999999999</v>
      </c>
      <c r="G140" s="307">
        <f>G109</f>
        <v>9.5299999999999994</v>
      </c>
    </row>
    <row r="141" spans="1:7" ht="30" customHeight="1">
      <c r="A141" s="170">
        <v>6111</v>
      </c>
      <c r="B141" s="170" t="s">
        <v>535</v>
      </c>
      <c r="C141" s="307">
        <f t="shared" si="2"/>
        <v>6.4064000000000005</v>
      </c>
      <c r="G141" s="307">
        <f>G137</f>
        <v>7.04</v>
      </c>
    </row>
    <row r="142" spans="1:7" ht="30" customHeight="1">
      <c r="A142" s="170">
        <v>337</v>
      </c>
      <c r="B142" s="170" t="s">
        <v>597</v>
      </c>
      <c r="C142" s="307">
        <f t="shared" si="2"/>
        <v>6.8250000000000002</v>
      </c>
      <c r="G142" s="307">
        <f>G139</f>
        <v>7.5</v>
      </c>
    </row>
    <row r="143" spans="1:7" ht="30" customHeight="1">
      <c r="A143" s="170">
        <v>30</v>
      </c>
      <c r="B143" s="170" t="s">
        <v>623</v>
      </c>
      <c r="C143" s="307">
        <f t="shared" si="2"/>
        <v>3.5489999999999999</v>
      </c>
      <c r="G143" s="307">
        <v>3.9</v>
      </c>
    </row>
    <row r="144" spans="1:7" ht="30" customHeight="1">
      <c r="A144" s="170">
        <v>378</v>
      </c>
      <c r="B144" s="170" t="s">
        <v>615</v>
      </c>
      <c r="C144" s="307">
        <f t="shared" si="2"/>
        <v>8.6722999999999999</v>
      </c>
      <c r="G144" s="307">
        <f>G140</f>
        <v>9.5299999999999994</v>
      </c>
    </row>
    <row r="145" spans="1:7" ht="30" customHeight="1">
      <c r="A145" s="170">
        <v>6111</v>
      </c>
      <c r="B145" s="170" t="s">
        <v>535</v>
      </c>
      <c r="C145" s="307">
        <f t="shared" si="2"/>
        <v>6.4064000000000005</v>
      </c>
      <c r="G145" s="307">
        <f>G141</f>
        <v>7.04</v>
      </c>
    </row>
    <row r="146" spans="1:7" ht="30" customHeight="1">
      <c r="A146" s="170">
        <v>370</v>
      </c>
      <c r="B146" s="170" t="s">
        <v>618</v>
      </c>
      <c r="C146" s="307">
        <f t="shared" si="2"/>
        <v>31.85</v>
      </c>
      <c r="G146" s="307">
        <f>G114</f>
        <v>35</v>
      </c>
    </row>
    <row r="147" spans="1:7" ht="30" customHeight="1">
      <c r="A147" s="170">
        <v>1379</v>
      </c>
      <c r="B147" s="170" t="s">
        <v>549</v>
      </c>
      <c r="C147" s="307">
        <f t="shared" si="2"/>
        <v>0.50050000000000006</v>
      </c>
      <c r="G147" s="307">
        <f>G115</f>
        <v>0.55000000000000004</v>
      </c>
    </row>
    <row r="148" spans="1:7" ht="30" customHeight="1">
      <c r="A148" s="170">
        <v>4718</v>
      </c>
      <c r="B148" s="170" t="s">
        <v>624</v>
      </c>
      <c r="C148" s="307">
        <f t="shared" si="2"/>
        <v>86.45</v>
      </c>
      <c r="G148" s="307">
        <v>95</v>
      </c>
    </row>
    <row r="149" spans="1:7" ht="30" customHeight="1">
      <c r="A149" s="170">
        <v>4721</v>
      </c>
      <c r="B149" s="170" t="s">
        <v>558</v>
      </c>
      <c r="C149" s="307">
        <f t="shared" si="2"/>
        <v>81.900000000000006</v>
      </c>
      <c r="G149" s="307">
        <f>G31</f>
        <v>90</v>
      </c>
    </row>
    <row r="150" spans="1:7" ht="30" customHeight="1">
      <c r="A150" s="170">
        <v>10533</v>
      </c>
      <c r="B150" s="170" t="s">
        <v>606</v>
      </c>
      <c r="C150" s="307">
        <f t="shared" si="2"/>
        <v>6.8250000000000002</v>
      </c>
      <c r="G150" s="307">
        <f>G116</f>
        <v>7.5</v>
      </c>
    </row>
    <row r="151" spans="1:7" ht="30" customHeight="1">
      <c r="A151" s="170">
        <v>6111</v>
      </c>
      <c r="B151" s="170" t="s">
        <v>535</v>
      </c>
      <c r="C151" s="307">
        <f t="shared" si="2"/>
        <v>6.4064000000000005</v>
      </c>
      <c r="G151" s="307">
        <f>G145</f>
        <v>7.04</v>
      </c>
    </row>
    <row r="152" spans="1:7" ht="30" customHeight="1">
      <c r="A152" s="170">
        <v>4243</v>
      </c>
      <c r="B152" s="170" t="s">
        <v>625</v>
      </c>
      <c r="C152" s="307">
        <f t="shared" si="2"/>
        <v>13.3497</v>
      </c>
      <c r="G152" s="307">
        <v>14.67</v>
      </c>
    </row>
    <row r="153" spans="1:7" ht="30" customHeight="1">
      <c r="A153" s="170">
        <v>10485</v>
      </c>
      <c r="B153" s="170" t="s">
        <v>619</v>
      </c>
      <c r="C153" s="307">
        <f t="shared" si="2"/>
        <v>1.7381</v>
      </c>
      <c r="G153" s="307">
        <f>G120</f>
        <v>1.91</v>
      </c>
    </row>
    <row r="154" spans="1:7" ht="30" customHeight="1">
      <c r="A154" s="170">
        <v>4750</v>
      </c>
      <c r="B154" s="170" t="s">
        <v>576</v>
      </c>
      <c r="C154" s="307">
        <f t="shared" si="2"/>
        <v>8.6722999999999999</v>
      </c>
      <c r="G154" s="307">
        <f>G121</f>
        <v>9.5299999999999994</v>
      </c>
    </row>
    <row r="155" spans="1:7" ht="30" customHeight="1">
      <c r="A155" s="170">
        <v>6111</v>
      </c>
      <c r="B155" s="170" t="s">
        <v>535</v>
      </c>
      <c r="C155" s="307">
        <f t="shared" si="2"/>
        <v>6.4064000000000005</v>
      </c>
      <c r="G155" s="307">
        <f>G151</f>
        <v>7.04</v>
      </c>
    </row>
    <row r="156" spans="1:7" ht="30" customHeight="1">
      <c r="A156" s="170">
        <v>7271</v>
      </c>
      <c r="B156" s="170" t="s">
        <v>633</v>
      </c>
      <c r="C156" s="307">
        <f t="shared" si="2"/>
        <v>0.52779999999999994</v>
      </c>
      <c r="G156" s="307">
        <v>0.57999999999999996</v>
      </c>
    </row>
    <row r="157" spans="1:7" ht="30" customHeight="1">
      <c r="A157" s="170">
        <v>73449</v>
      </c>
      <c r="B157" s="170" t="s">
        <v>634</v>
      </c>
      <c r="C157" s="307">
        <f t="shared" si="2"/>
        <v>346.0548</v>
      </c>
      <c r="G157" s="616">
        <v>380.28</v>
      </c>
    </row>
    <row r="158" spans="1:7" ht="30" customHeight="1">
      <c r="A158" s="170">
        <v>6111</v>
      </c>
      <c r="B158" s="170" t="s">
        <v>535</v>
      </c>
      <c r="C158" s="307">
        <f t="shared" si="2"/>
        <v>6.4064000000000005</v>
      </c>
      <c r="G158" s="307">
        <f>G151</f>
        <v>7.04</v>
      </c>
    </row>
    <row r="159" spans="1:7" ht="30" customHeight="1">
      <c r="A159" s="170">
        <v>4750</v>
      </c>
      <c r="B159" s="170" t="s">
        <v>576</v>
      </c>
      <c r="C159" s="307">
        <f t="shared" si="2"/>
        <v>8.6722999999999999</v>
      </c>
      <c r="G159" s="307">
        <f>G154</f>
        <v>9.5299999999999994</v>
      </c>
    </row>
    <row r="160" spans="1:7" ht="30" customHeight="1">
      <c r="A160" s="170">
        <v>1379</v>
      </c>
      <c r="B160" s="170" t="s">
        <v>549</v>
      </c>
      <c r="C160" s="307">
        <f t="shared" si="2"/>
        <v>0.50050000000000006</v>
      </c>
      <c r="G160" s="307">
        <f>G147</f>
        <v>0.55000000000000004</v>
      </c>
    </row>
    <row r="161" spans="1:7" ht="30" customHeight="1">
      <c r="A161" s="170">
        <v>665</v>
      </c>
      <c r="B161" s="170" t="s">
        <v>635</v>
      </c>
      <c r="C161" s="307">
        <f t="shared" si="2"/>
        <v>16.7349</v>
      </c>
      <c r="G161" s="307">
        <v>18.39</v>
      </c>
    </row>
    <row r="162" spans="1:7" ht="30" customHeight="1">
      <c r="A162" s="170">
        <v>370</v>
      </c>
      <c r="B162" s="170" t="s">
        <v>618</v>
      </c>
      <c r="C162" s="307">
        <f t="shared" si="2"/>
        <v>31.85</v>
      </c>
      <c r="G162" s="307">
        <f>G146</f>
        <v>35</v>
      </c>
    </row>
    <row r="163" spans="1:7" ht="30" customHeight="1">
      <c r="A163" s="170">
        <v>6111</v>
      </c>
      <c r="B163" s="170" t="s">
        <v>535</v>
      </c>
      <c r="C163" s="307">
        <f t="shared" si="2"/>
        <v>6.4064000000000005</v>
      </c>
      <c r="G163" s="307">
        <f>G158</f>
        <v>7.04</v>
      </c>
    </row>
    <row r="164" spans="1:7" ht="30" customHeight="1">
      <c r="A164" s="170">
        <v>4750</v>
      </c>
      <c r="B164" s="170" t="s">
        <v>576</v>
      </c>
      <c r="C164" s="307">
        <f t="shared" si="2"/>
        <v>8.6722999999999999</v>
      </c>
      <c r="G164" s="307">
        <f>G159</f>
        <v>9.5299999999999994</v>
      </c>
    </row>
    <row r="165" spans="1:7" ht="30" customHeight="1">
      <c r="A165" s="170">
        <v>2417</v>
      </c>
      <c r="B165" s="170" t="s">
        <v>637</v>
      </c>
      <c r="C165" s="307">
        <f t="shared" si="2"/>
        <v>108.6904</v>
      </c>
      <c r="G165" s="307">
        <v>119.44</v>
      </c>
    </row>
    <row r="166" spans="1:7" ht="30" customHeight="1">
      <c r="A166" s="170">
        <v>367</v>
      </c>
      <c r="B166" s="170" t="s">
        <v>544</v>
      </c>
      <c r="C166" s="307">
        <f t="shared" si="2"/>
        <v>40.950000000000003</v>
      </c>
      <c r="G166" s="307">
        <v>45</v>
      </c>
    </row>
    <row r="167" spans="1:7" ht="30" customHeight="1">
      <c r="A167" s="170">
        <v>25976</v>
      </c>
      <c r="B167" s="170" t="s">
        <v>1413</v>
      </c>
      <c r="C167" s="307">
        <f t="shared" si="2"/>
        <v>358.0668</v>
      </c>
      <c r="G167" s="307">
        <v>393.48</v>
      </c>
    </row>
    <row r="168" spans="1:7" ht="30" customHeight="1">
      <c r="A168" s="170">
        <v>1380</v>
      </c>
      <c r="B168" s="170" t="s">
        <v>638</v>
      </c>
      <c r="C168" s="307">
        <f t="shared" si="2"/>
        <v>3.64</v>
      </c>
      <c r="G168" s="307">
        <v>4</v>
      </c>
    </row>
    <row r="169" spans="1:7" ht="30" customHeight="1">
      <c r="A169" s="170">
        <v>1379</v>
      </c>
      <c r="B169" s="170" t="s">
        <v>605</v>
      </c>
      <c r="C169" s="307">
        <f t="shared" si="2"/>
        <v>0.50050000000000006</v>
      </c>
      <c r="G169" s="307">
        <f>G160</f>
        <v>0.55000000000000004</v>
      </c>
    </row>
    <row r="170" spans="1:7" ht="30" customHeight="1">
      <c r="A170" s="170">
        <v>6111</v>
      </c>
      <c r="B170" s="170" t="s">
        <v>535</v>
      </c>
      <c r="C170" s="307">
        <f t="shared" si="2"/>
        <v>6.4064000000000005</v>
      </c>
      <c r="G170" s="307">
        <f>G163</f>
        <v>7.04</v>
      </c>
    </row>
    <row r="171" spans="1:7" ht="30" customHeight="1">
      <c r="A171" s="170">
        <v>4750</v>
      </c>
      <c r="B171" s="170" t="s">
        <v>576</v>
      </c>
      <c r="C171" s="307">
        <f t="shared" si="2"/>
        <v>8.6722999999999999</v>
      </c>
      <c r="G171" s="307">
        <f>G164</f>
        <v>9.5299999999999994</v>
      </c>
    </row>
    <row r="172" spans="1:7" ht="30" customHeight="1">
      <c r="A172" s="170">
        <v>11026</v>
      </c>
      <c r="B172" s="170" t="s">
        <v>641</v>
      </c>
      <c r="C172" s="307">
        <f t="shared" si="2"/>
        <v>3.5308000000000002</v>
      </c>
      <c r="G172" s="307">
        <v>3.88</v>
      </c>
    </row>
    <row r="173" spans="1:7" ht="30" customHeight="1">
      <c r="A173" s="170">
        <v>10952</v>
      </c>
      <c r="B173" s="170" t="s">
        <v>642</v>
      </c>
      <c r="C173" s="307">
        <f t="shared" si="2"/>
        <v>4.9686000000000003</v>
      </c>
      <c r="G173" s="307">
        <v>5.46</v>
      </c>
    </row>
    <row r="174" spans="1:7" ht="30" customHeight="1">
      <c r="A174" s="170">
        <v>1379</v>
      </c>
      <c r="B174" s="170" t="s">
        <v>1489</v>
      </c>
      <c r="C174" s="307">
        <f t="shared" si="2"/>
        <v>0.50050000000000006</v>
      </c>
      <c r="G174" s="307">
        <f>G169</f>
        <v>0.55000000000000004</v>
      </c>
    </row>
    <row r="175" spans="1:7" ht="30" customHeight="1">
      <c r="A175" s="170">
        <v>1106</v>
      </c>
      <c r="B175" s="170" t="s">
        <v>643</v>
      </c>
      <c r="C175" s="307">
        <f t="shared" si="2"/>
        <v>1.0465</v>
      </c>
      <c r="G175" s="307">
        <v>1.1499999999999999</v>
      </c>
    </row>
    <row r="176" spans="1:7" ht="30" customHeight="1">
      <c r="A176" s="170">
        <v>370</v>
      </c>
      <c r="B176" s="170" t="s">
        <v>618</v>
      </c>
      <c r="C176" s="307">
        <f t="shared" si="2"/>
        <v>31.85</v>
      </c>
      <c r="G176" s="307">
        <f>G162</f>
        <v>35</v>
      </c>
    </row>
    <row r="177" spans="1:7" ht="30" customHeight="1">
      <c r="A177" s="170">
        <v>26</v>
      </c>
      <c r="B177" s="170" t="s">
        <v>644</v>
      </c>
      <c r="C177" s="307">
        <f t="shared" si="2"/>
        <v>3.3670000000000004</v>
      </c>
      <c r="G177" s="307">
        <v>3.7</v>
      </c>
    </row>
    <row r="178" spans="1:7" ht="30" customHeight="1">
      <c r="A178" s="170">
        <v>6111</v>
      </c>
      <c r="B178" s="170" t="s">
        <v>535</v>
      </c>
      <c r="C178" s="307">
        <f t="shared" si="2"/>
        <v>6.4064000000000005</v>
      </c>
      <c r="G178" s="307">
        <f>G170</f>
        <v>7.04</v>
      </c>
    </row>
    <row r="179" spans="1:7" ht="30" customHeight="1">
      <c r="A179" s="170">
        <v>4750</v>
      </c>
      <c r="B179" s="170" t="s">
        <v>576</v>
      </c>
      <c r="C179" s="307">
        <f t="shared" si="2"/>
        <v>8.6722999999999999</v>
      </c>
      <c r="G179" s="307">
        <f>G171</f>
        <v>9.5299999999999994</v>
      </c>
    </row>
    <row r="180" spans="1:7" ht="30" customHeight="1">
      <c r="A180" s="170">
        <v>3081</v>
      </c>
      <c r="B180" s="170" t="s">
        <v>646</v>
      </c>
      <c r="C180" s="307">
        <f t="shared" si="2"/>
        <v>67.021500000000003</v>
      </c>
      <c r="G180" s="307">
        <v>73.650000000000006</v>
      </c>
    </row>
    <row r="181" spans="1:7" ht="30" customHeight="1">
      <c r="A181" s="170">
        <v>1214</v>
      </c>
      <c r="B181" s="170" t="s">
        <v>511</v>
      </c>
      <c r="C181" s="307">
        <f t="shared" si="2"/>
        <v>8.5449000000000002</v>
      </c>
      <c r="G181" s="307">
        <f>G79</f>
        <v>9.39</v>
      </c>
    </row>
    <row r="182" spans="1:7" ht="30" customHeight="1">
      <c r="A182" s="170">
        <v>6117</v>
      </c>
      <c r="B182" s="170" t="s">
        <v>510</v>
      </c>
      <c r="C182" s="307">
        <f t="shared" si="2"/>
        <v>6.5065000000000008</v>
      </c>
      <c r="G182" s="307">
        <v>7.15</v>
      </c>
    </row>
    <row r="183" spans="1:7" ht="30" customHeight="1">
      <c r="A183" s="170">
        <v>2420</v>
      </c>
      <c r="B183" s="170" t="s">
        <v>648</v>
      </c>
      <c r="C183" s="307">
        <f t="shared" si="2"/>
        <v>3.3761000000000001</v>
      </c>
      <c r="G183" s="307">
        <v>3.71</v>
      </c>
    </row>
    <row r="184" spans="1:7" ht="30" customHeight="1">
      <c r="A184" s="170">
        <v>1214</v>
      </c>
      <c r="B184" s="170" t="s">
        <v>511</v>
      </c>
      <c r="C184" s="307">
        <f t="shared" si="2"/>
        <v>8.5449000000000002</v>
      </c>
      <c r="G184" s="307">
        <f>G181</f>
        <v>9.39</v>
      </c>
    </row>
    <row r="185" spans="1:7" ht="30" customHeight="1">
      <c r="A185" s="170">
        <v>6117</v>
      </c>
      <c r="B185" s="170" t="s">
        <v>510</v>
      </c>
      <c r="C185" s="307">
        <f t="shared" si="2"/>
        <v>6.5065000000000008</v>
      </c>
      <c r="G185" s="307">
        <f>G182</f>
        <v>7.15</v>
      </c>
    </row>
    <row r="186" spans="1:7" ht="30" customHeight="1">
      <c r="A186" s="170">
        <v>367</v>
      </c>
      <c r="B186" s="170" t="s">
        <v>544</v>
      </c>
      <c r="C186" s="307">
        <f t="shared" si="2"/>
        <v>40.950000000000003</v>
      </c>
      <c r="G186" s="307">
        <f>G166</f>
        <v>45</v>
      </c>
    </row>
    <row r="187" spans="1:7" ht="30" customHeight="1">
      <c r="A187" s="170">
        <v>601</v>
      </c>
      <c r="B187" s="170" t="s">
        <v>650</v>
      </c>
      <c r="C187" s="307">
        <f t="shared" si="2"/>
        <v>187.60560000000001</v>
      </c>
      <c r="G187" s="307">
        <v>206.16</v>
      </c>
    </row>
    <row r="188" spans="1:7" ht="30" customHeight="1">
      <c r="A188" s="170">
        <v>1379</v>
      </c>
      <c r="B188" s="170" t="s">
        <v>1489</v>
      </c>
      <c r="C188" s="307">
        <f t="shared" si="2"/>
        <v>0.50050000000000006</v>
      </c>
      <c r="G188" s="307">
        <f>G174</f>
        <v>0.55000000000000004</v>
      </c>
    </row>
    <row r="189" spans="1:7" ht="30" customHeight="1">
      <c r="A189" s="170">
        <v>4750</v>
      </c>
      <c r="B189" s="170" t="s">
        <v>576</v>
      </c>
      <c r="C189" s="307">
        <f t="shared" si="2"/>
        <v>8.6722999999999999</v>
      </c>
      <c r="G189" s="307">
        <f>G179</f>
        <v>9.5299999999999994</v>
      </c>
    </row>
    <row r="190" spans="1:7" ht="30" customHeight="1">
      <c r="A190" s="170">
        <v>6111</v>
      </c>
      <c r="B190" s="170" t="s">
        <v>535</v>
      </c>
      <c r="C190" s="307">
        <f t="shared" si="2"/>
        <v>6.4064000000000005</v>
      </c>
      <c r="G190" s="307">
        <f>G178</f>
        <v>7.04</v>
      </c>
    </row>
    <row r="191" spans="1:7" ht="30" customHeight="1">
      <c r="A191" s="170">
        <v>1379</v>
      </c>
      <c r="B191" s="170" t="s">
        <v>1489</v>
      </c>
      <c r="C191" s="307">
        <f t="shared" si="2"/>
        <v>0.50050000000000006</v>
      </c>
      <c r="G191" s="307">
        <f>G188</f>
        <v>0.55000000000000004</v>
      </c>
    </row>
    <row r="192" spans="1:7" ht="30" customHeight="1">
      <c r="A192" s="170">
        <v>7697</v>
      </c>
      <c r="B192" s="170" t="s">
        <v>1046</v>
      </c>
      <c r="C192" s="307">
        <f t="shared" si="2"/>
        <v>21.2212</v>
      </c>
      <c r="G192" s="307">
        <v>23.32</v>
      </c>
    </row>
    <row r="193" spans="1:7" ht="30" customHeight="1">
      <c r="A193" s="170">
        <v>370</v>
      </c>
      <c r="B193" s="170" t="s">
        <v>618</v>
      </c>
      <c r="C193" s="307">
        <f t="shared" si="2"/>
        <v>31.85</v>
      </c>
      <c r="G193" s="307">
        <f>G176</f>
        <v>35</v>
      </c>
    </row>
    <row r="194" spans="1:7" ht="30" customHeight="1">
      <c r="A194" s="170">
        <v>4750</v>
      </c>
      <c r="B194" s="170" t="s">
        <v>576</v>
      </c>
      <c r="C194" s="307">
        <f t="shared" si="2"/>
        <v>8.6722999999999999</v>
      </c>
      <c r="G194" s="307">
        <f>G189</f>
        <v>9.5299999999999994</v>
      </c>
    </row>
    <row r="195" spans="1:7" ht="30" customHeight="1">
      <c r="A195" s="170">
        <v>6110</v>
      </c>
      <c r="B195" s="170" t="s">
        <v>631</v>
      </c>
      <c r="C195" s="307">
        <f t="shared" si="2"/>
        <v>8.19</v>
      </c>
      <c r="G195" s="307">
        <v>9</v>
      </c>
    </row>
    <row r="196" spans="1:7" ht="30" customHeight="1">
      <c r="A196" s="170">
        <v>6111</v>
      </c>
      <c r="B196" s="170" t="s">
        <v>535</v>
      </c>
      <c r="C196" s="307">
        <f t="shared" si="2"/>
        <v>6.4064000000000005</v>
      </c>
      <c r="G196" s="307">
        <f>G190</f>
        <v>7.04</v>
      </c>
    </row>
    <row r="197" spans="1:7" ht="30" customHeight="1">
      <c r="A197" s="170">
        <v>7701</v>
      </c>
      <c r="B197" s="170" t="s">
        <v>590</v>
      </c>
      <c r="C197" s="307">
        <f t="shared" si="2"/>
        <v>39.2301</v>
      </c>
      <c r="G197" s="307">
        <f>G68</f>
        <v>43.11</v>
      </c>
    </row>
    <row r="198" spans="1:7" ht="30" customHeight="1">
      <c r="A198" s="170">
        <v>4364</v>
      </c>
      <c r="B198" s="170" t="s">
        <v>1048</v>
      </c>
      <c r="C198" s="307">
        <f t="shared" si="2"/>
        <v>3.5672000000000001</v>
      </c>
      <c r="G198" s="307">
        <v>3.92</v>
      </c>
    </row>
    <row r="199" spans="1:7" ht="30" customHeight="1">
      <c r="A199" s="310">
        <v>4885</v>
      </c>
      <c r="B199" s="310" t="s">
        <v>1049</v>
      </c>
      <c r="C199" s="307">
        <f t="shared" si="2"/>
        <v>347.21960000000001</v>
      </c>
      <c r="G199" s="616">
        <v>381.56</v>
      </c>
    </row>
    <row r="200" spans="1:7" ht="30" customHeight="1">
      <c r="A200" s="170">
        <v>6111</v>
      </c>
      <c r="B200" s="170" t="s">
        <v>535</v>
      </c>
      <c r="C200" s="307">
        <f t="shared" si="2"/>
        <v>6.4064000000000005</v>
      </c>
      <c r="G200" s="307">
        <f>G196</f>
        <v>7.04</v>
      </c>
    </row>
    <row r="201" spans="1:7" ht="30" customHeight="1">
      <c r="A201" s="170">
        <v>6115</v>
      </c>
      <c r="B201" s="170" t="s">
        <v>509</v>
      </c>
      <c r="C201" s="307">
        <f t="shared" si="2"/>
        <v>6.4064000000000005</v>
      </c>
      <c r="G201" s="307">
        <f>G84</f>
        <v>7.04</v>
      </c>
    </row>
    <row r="202" spans="1:7" ht="30" customHeight="1">
      <c r="A202" s="170">
        <v>550</v>
      </c>
      <c r="B202" s="170" t="s">
        <v>1051</v>
      </c>
      <c r="C202" s="307">
        <f t="shared" ref="C202:C265" si="3">G202*0.91</f>
        <v>3.1668000000000003</v>
      </c>
      <c r="G202" s="307">
        <v>3.48</v>
      </c>
    </row>
    <row r="203" spans="1:7" ht="30" customHeight="1">
      <c r="A203" s="170">
        <v>6025</v>
      </c>
      <c r="B203" s="170" t="s">
        <v>1052</v>
      </c>
      <c r="C203" s="307">
        <f t="shared" si="3"/>
        <v>236.65460000000002</v>
      </c>
      <c r="G203" s="616">
        <v>260.06</v>
      </c>
    </row>
    <row r="204" spans="1:7" ht="30" customHeight="1">
      <c r="A204" s="170">
        <v>6111</v>
      </c>
      <c r="B204" s="170" t="s">
        <v>535</v>
      </c>
      <c r="C204" s="307">
        <f t="shared" si="3"/>
        <v>6.4064000000000005</v>
      </c>
      <c r="G204" s="307">
        <f>G196</f>
        <v>7.04</v>
      </c>
    </row>
    <row r="205" spans="1:7" ht="30" customHeight="1">
      <c r="A205" s="170">
        <v>6110</v>
      </c>
      <c r="B205" s="170" t="s">
        <v>631</v>
      </c>
      <c r="C205" s="307">
        <f t="shared" si="3"/>
        <v>8.19</v>
      </c>
      <c r="G205" s="307">
        <f>G195</f>
        <v>9</v>
      </c>
    </row>
    <row r="206" spans="1:7" ht="30" customHeight="1">
      <c r="A206" s="170">
        <v>4917</v>
      </c>
      <c r="B206" s="231" t="s">
        <v>1374</v>
      </c>
      <c r="C206" s="307">
        <f t="shared" si="3"/>
        <v>514.15</v>
      </c>
      <c r="G206" s="307">
        <v>565</v>
      </c>
    </row>
    <row r="207" spans="1:7" ht="30" customHeight="1">
      <c r="A207" s="170">
        <v>4885</v>
      </c>
      <c r="B207" s="231" t="s">
        <v>1049</v>
      </c>
      <c r="C207" s="307">
        <f t="shared" si="3"/>
        <v>347.21960000000001</v>
      </c>
      <c r="G207" s="616">
        <f>G199</f>
        <v>381.56</v>
      </c>
    </row>
    <row r="208" spans="1:7" ht="30" customHeight="1">
      <c r="A208" s="170">
        <v>4750</v>
      </c>
      <c r="B208" s="231" t="s">
        <v>576</v>
      </c>
      <c r="C208" s="307">
        <f t="shared" si="3"/>
        <v>8.6722999999999999</v>
      </c>
      <c r="G208" s="307">
        <f>G194</f>
        <v>9.5299999999999994</v>
      </c>
    </row>
    <row r="209" spans="1:7" ht="30" customHeight="1">
      <c r="A209" s="170">
        <v>6110</v>
      </c>
      <c r="B209" s="231" t="s">
        <v>631</v>
      </c>
      <c r="C209" s="307">
        <f t="shared" si="3"/>
        <v>8.19</v>
      </c>
      <c r="G209" s="307">
        <f>G205</f>
        <v>9</v>
      </c>
    </row>
    <row r="210" spans="1:7" ht="30" customHeight="1">
      <c r="A210" s="170">
        <v>6111</v>
      </c>
      <c r="B210" s="231" t="s">
        <v>535</v>
      </c>
      <c r="C210" s="307">
        <f t="shared" si="3"/>
        <v>6.4064000000000005</v>
      </c>
      <c r="G210" s="307">
        <f>G200</f>
        <v>7.04</v>
      </c>
    </row>
    <row r="211" spans="1:7" ht="30" customHeight="1">
      <c r="A211" s="170">
        <v>6115</v>
      </c>
      <c r="B211" s="231" t="s">
        <v>509</v>
      </c>
      <c r="C211" s="307">
        <f t="shared" si="3"/>
        <v>6.4064000000000005</v>
      </c>
      <c r="G211" s="307">
        <f>G201</f>
        <v>7.04</v>
      </c>
    </row>
    <row r="212" spans="1:7" ht="30" customHeight="1">
      <c r="A212" s="170">
        <v>5032</v>
      </c>
      <c r="B212" s="170" t="s">
        <v>1423</v>
      </c>
      <c r="C212" s="307">
        <f t="shared" si="3"/>
        <v>151.78800000000001</v>
      </c>
      <c r="G212" s="616">
        <v>166.8</v>
      </c>
    </row>
    <row r="213" spans="1:7" ht="30" customHeight="1">
      <c r="A213" s="170">
        <v>11552</v>
      </c>
      <c r="B213" s="170" t="s">
        <v>1424</v>
      </c>
      <c r="C213" s="307">
        <f t="shared" si="3"/>
        <v>4.7774999999999999</v>
      </c>
      <c r="G213" s="307">
        <v>5.25</v>
      </c>
    </row>
    <row r="214" spans="1:7" ht="30" customHeight="1">
      <c r="A214" s="170">
        <v>20259</v>
      </c>
      <c r="B214" s="170" t="s">
        <v>1425</v>
      </c>
      <c r="C214" s="307">
        <f t="shared" si="3"/>
        <v>2.1111999999999997</v>
      </c>
      <c r="G214" s="307">
        <v>2.3199999999999998</v>
      </c>
    </row>
    <row r="215" spans="1:7" ht="30" customHeight="1">
      <c r="A215" s="170">
        <v>6115</v>
      </c>
      <c r="B215" s="170" t="s">
        <v>509</v>
      </c>
      <c r="C215" s="307">
        <f t="shared" si="3"/>
        <v>6.4064000000000005</v>
      </c>
      <c r="G215" s="307">
        <f>G211</f>
        <v>7.04</v>
      </c>
    </row>
    <row r="216" spans="1:7" ht="30" customHeight="1">
      <c r="A216" s="170">
        <v>10489</v>
      </c>
      <c r="B216" s="170" t="s">
        <v>655</v>
      </c>
      <c r="C216" s="307">
        <f t="shared" si="3"/>
        <v>7.4711000000000007</v>
      </c>
      <c r="G216" s="307">
        <v>8.2100000000000009</v>
      </c>
    </row>
    <row r="217" spans="1:7" ht="30" customHeight="1">
      <c r="A217" s="170">
        <v>4774</v>
      </c>
      <c r="B217" s="170" t="s">
        <v>629</v>
      </c>
      <c r="C217" s="307">
        <f t="shared" si="3"/>
        <v>5.46</v>
      </c>
      <c r="G217" s="307">
        <v>6</v>
      </c>
    </row>
    <row r="218" spans="1:7" ht="30" customHeight="1">
      <c r="A218" s="170">
        <v>6391</v>
      </c>
      <c r="B218" s="170" t="s">
        <v>630</v>
      </c>
      <c r="C218" s="307">
        <f t="shared" si="3"/>
        <v>71.562399999999997</v>
      </c>
      <c r="G218" s="311">
        <v>78.64</v>
      </c>
    </row>
    <row r="219" spans="1:7" ht="30" customHeight="1">
      <c r="A219" s="170">
        <v>6115</v>
      </c>
      <c r="B219" s="170" t="s">
        <v>509</v>
      </c>
      <c r="C219" s="307">
        <f t="shared" si="3"/>
        <v>6.4064000000000005</v>
      </c>
      <c r="G219" s="307">
        <f>G215</f>
        <v>7.04</v>
      </c>
    </row>
    <row r="220" spans="1:7" ht="30" customHeight="1">
      <c r="A220" s="170">
        <v>6110</v>
      </c>
      <c r="B220" s="170" t="s">
        <v>631</v>
      </c>
      <c r="C220" s="307">
        <f t="shared" si="3"/>
        <v>8.19</v>
      </c>
      <c r="G220" s="307">
        <f>G209</f>
        <v>9</v>
      </c>
    </row>
    <row r="221" spans="1:7" ht="30" customHeight="1">
      <c r="A221" s="170">
        <v>1610</v>
      </c>
      <c r="B221" s="170" t="s">
        <v>662</v>
      </c>
      <c r="C221" s="307">
        <f t="shared" si="3"/>
        <v>15.015000000000001</v>
      </c>
      <c r="G221" s="307">
        <v>16.5</v>
      </c>
    </row>
    <row r="222" spans="1:7" ht="30" customHeight="1">
      <c r="A222" s="170">
        <v>4381</v>
      </c>
      <c r="B222" s="170" t="s">
        <v>663</v>
      </c>
      <c r="C222" s="307">
        <f t="shared" si="3"/>
        <v>0.62790000000000001</v>
      </c>
      <c r="G222" s="307">
        <v>0.69</v>
      </c>
    </row>
    <row r="223" spans="1:7" ht="30" customHeight="1">
      <c r="A223" s="310" t="s">
        <v>664</v>
      </c>
      <c r="B223" s="310" t="s">
        <v>665</v>
      </c>
      <c r="C223" s="307">
        <f t="shared" si="3"/>
        <v>245.70000000000002</v>
      </c>
      <c r="G223" s="616">
        <v>270</v>
      </c>
    </row>
    <row r="224" spans="1:7" ht="30" customHeight="1">
      <c r="A224" s="170">
        <v>12869</v>
      </c>
      <c r="B224" s="170" t="s">
        <v>666</v>
      </c>
      <c r="C224" s="307">
        <f t="shared" si="3"/>
        <v>7.489300000000001</v>
      </c>
      <c r="G224" s="307">
        <v>8.23</v>
      </c>
    </row>
    <row r="225" spans="1:7" ht="30" customHeight="1">
      <c r="A225" s="170">
        <v>6117</v>
      </c>
      <c r="B225" s="170" t="s">
        <v>510</v>
      </c>
      <c r="C225" s="307">
        <f t="shared" si="3"/>
        <v>6.5065000000000008</v>
      </c>
      <c r="G225" s="307">
        <f>G182</f>
        <v>7.15</v>
      </c>
    </row>
    <row r="226" spans="1:7" ht="30" customHeight="1">
      <c r="A226" s="170">
        <v>1116</v>
      </c>
      <c r="B226" s="170" t="s">
        <v>668</v>
      </c>
      <c r="C226" s="307">
        <f t="shared" si="3"/>
        <v>12.7491</v>
      </c>
      <c r="G226" s="307">
        <v>14.01</v>
      </c>
    </row>
    <row r="227" spans="1:7" ht="30" customHeight="1">
      <c r="A227" s="170">
        <v>5061</v>
      </c>
      <c r="B227" s="170" t="s">
        <v>598</v>
      </c>
      <c r="C227" s="307">
        <f t="shared" si="3"/>
        <v>6.5156000000000001</v>
      </c>
      <c r="G227" s="307">
        <f>G230</f>
        <v>7.16</v>
      </c>
    </row>
    <row r="228" spans="1:7" ht="30" customHeight="1">
      <c r="A228" s="170">
        <v>4750</v>
      </c>
      <c r="B228" s="170" t="s">
        <v>576</v>
      </c>
      <c r="C228" s="307">
        <f t="shared" si="3"/>
        <v>8.6722999999999999</v>
      </c>
      <c r="G228" s="307">
        <f>G235</f>
        <v>9.5299999999999994</v>
      </c>
    </row>
    <row r="229" spans="1:7" ht="30" customHeight="1">
      <c r="A229" s="170">
        <v>6115</v>
      </c>
      <c r="B229" s="170" t="s">
        <v>509</v>
      </c>
      <c r="C229" s="307">
        <f t="shared" si="3"/>
        <v>6.4064000000000005</v>
      </c>
      <c r="G229" s="307">
        <f>G201</f>
        <v>7.04</v>
      </c>
    </row>
    <row r="230" spans="1:7" ht="30" customHeight="1">
      <c r="A230" s="170">
        <v>5061</v>
      </c>
      <c r="B230" s="170" t="s">
        <v>598</v>
      </c>
      <c r="C230" s="307">
        <f t="shared" si="3"/>
        <v>6.5156000000000001</v>
      </c>
      <c r="G230" s="307">
        <f>G97</f>
        <v>7.16</v>
      </c>
    </row>
    <row r="231" spans="1:7" ht="30" customHeight="1">
      <c r="A231" s="170">
        <v>5104</v>
      </c>
      <c r="B231" s="170" t="s">
        <v>670</v>
      </c>
      <c r="C231" s="307">
        <f t="shared" si="3"/>
        <v>34.543600000000005</v>
      </c>
      <c r="G231" s="307">
        <v>37.96</v>
      </c>
    </row>
    <row r="232" spans="1:7" ht="30" customHeight="1">
      <c r="A232" s="170">
        <v>13388</v>
      </c>
      <c r="B232" s="170" t="s">
        <v>671</v>
      </c>
      <c r="C232" s="307">
        <f t="shared" si="3"/>
        <v>40.831699999999998</v>
      </c>
      <c r="G232" s="307">
        <v>44.87</v>
      </c>
    </row>
    <row r="233" spans="1:7" ht="30" customHeight="1">
      <c r="A233" s="170">
        <v>1118</v>
      </c>
      <c r="B233" s="170" t="s">
        <v>672</v>
      </c>
      <c r="C233" s="307">
        <f t="shared" si="3"/>
        <v>18.964400000000001</v>
      </c>
      <c r="G233" s="307">
        <v>20.84</v>
      </c>
    </row>
    <row r="234" spans="1:7" ht="30" customHeight="1">
      <c r="A234" s="170">
        <v>6111</v>
      </c>
      <c r="B234" s="170" t="s">
        <v>535</v>
      </c>
      <c r="C234" s="307">
        <f t="shared" si="3"/>
        <v>6.4064000000000005</v>
      </c>
      <c r="G234" s="307">
        <f>G200</f>
        <v>7.04</v>
      </c>
    </row>
    <row r="235" spans="1:7" ht="30" customHeight="1">
      <c r="A235" s="170">
        <v>4750</v>
      </c>
      <c r="B235" s="170" t="s">
        <v>576</v>
      </c>
      <c r="C235" s="307">
        <f t="shared" si="3"/>
        <v>8.6722999999999999</v>
      </c>
      <c r="G235" s="307">
        <f>G208</f>
        <v>9.5299999999999994</v>
      </c>
    </row>
    <row r="236" spans="1:7" ht="30" customHeight="1">
      <c r="A236" s="245">
        <v>4381</v>
      </c>
      <c r="B236" s="245" t="s">
        <v>663</v>
      </c>
      <c r="C236" s="307">
        <f t="shared" si="3"/>
        <v>0.62790000000000001</v>
      </c>
      <c r="G236" s="307">
        <f>G222</f>
        <v>0.69</v>
      </c>
    </row>
    <row r="237" spans="1:7" ht="30" customHeight="1">
      <c r="A237" s="313" t="s">
        <v>664</v>
      </c>
      <c r="B237" s="313" t="s">
        <v>1456</v>
      </c>
      <c r="C237" s="307">
        <f t="shared" si="3"/>
        <v>10.9109</v>
      </c>
      <c r="G237" s="616">
        <v>11.99</v>
      </c>
    </row>
    <row r="238" spans="1:7" ht="30" customHeight="1">
      <c r="A238" s="245">
        <v>12869</v>
      </c>
      <c r="B238" s="245" t="s">
        <v>666</v>
      </c>
      <c r="C238" s="307">
        <f t="shared" si="3"/>
        <v>7.489300000000001</v>
      </c>
      <c r="G238" s="307">
        <f>G224</f>
        <v>8.23</v>
      </c>
    </row>
    <row r="239" spans="1:7" ht="30" customHeight="1">
      <c r="A239" s="245">
        <v>6117</v>
      </c>
      <c r="B239" s="245" t="s">
        <v>510</v>
      </c>
      <c r="C239" s="307">
        <f t="shared" si="3"/>
        <v>6.5065000000000008</v>
      </c>
      <c r="G239" s="307">
        <f>G225</f>
        <v>7.15</v>
      </c>
    </row>
    <row r="240" spans="1:7" ht="30" customHeight="1">
      <c r="A240" s="170">
        <v>333</v>
      </c>
      <c r="B240" s="170" t="s">
        <v>949</v>
      </c>
      <c r="C240" s="307">
        <f t="shared" si="3"/>
        <v>10.01</v>
      </c>
      <c r="G240" s="307">
        <v>11</v>
      </c>
    </row>
    <row r="241" spans="1:7" ht="30" customHeight="1">
      <c r="A241" s="170">
        <v>2436</v>
      </c>
      <c r="B241" s="170" t="s">
        <v>513</v>
      </c>
      <c r="C241" s="307">
        <f t="shared" si="3"/>
        <v>12.2759</v>
      </c>
      <c r="G241" s="307">
        <v>13.49</v>
      </c>
    </row>
    <row r="242" spans="1:7" ht="30" customHeight="1">
      <c r="A242" s="170">
        <v>6113</v>
      </c>
      <c r="B242" s="170" t="s">
        <v>514</v>
      </c>
      <c r="C242" s="307">
        <f t="shared" si="3"/>
        <v>6.4064000000000005</v>
      </c>
      <c r="G242" s="307">
        <v>7.04</v>
      </c>
    </row>
    <row r="243" spans="1:7" ht="30" customHeight="1">
      <c r="A243" s="170">
        <v>851</v>
      </c>
      <c r="B243" s="170" t="s">
        <v>951</v>
      </c>
      <c r="C243" s="307">
        <f t="shared" si="3"/>
        <v>0.62790000000000001</v>
      </c>
      <c r="G243" s="307">
        <v>0.69</v>
      </c>
    </row>
    <row r="244" spans="1:7" ht="30" customHeight="1">
      <c r="A244" s="170">
        <v>2436</v>
      </c>
      <c r="B244" s="170" t="s">
        <v>513</v>
      </c>
      <c r="C244" s="307">
        <f t="shared" si="3"/>
        <v>12.2759</v>
      </c>
      <c r="G244" s="307">
        <f>G241</f>
        <v>13.49</v>
      </c>
    </row>
    <row r="245" spans="1:7" ht="30" customHeight="1">
      <c r="A245" s="170">
        <v>6113</v>
      </c>
      <c r="B245" s="170" t="s">
        <v>514</v>
      </c>
      <c r="C245" s="307">
        <f t="shared" si="3"/>
        <v>6.4064000000000005</v>
      </c>
      <c r="G245" s="307">
        <f>G242</f>
        <v>7.04</v>
      </c>
    </row>
    <row r="246" spans="1:7" ht="30" customHeight="1">
      <c r="A246" s="170">
        <v>984</v>
      </c>
      <c r="B246" s="170" t="s">
        <v>953</v>
      </c>
      <c r="C246" s="307">
        <f t="shared" si="3"/>
        <v>1.0555999999999999</v>
      </c>
      <c r="G246" s="307">
        <v>1.1599999999999999</v>
      </c>
    </row>
    <row r="247" spans="1:7" ht="30" customHeight="1">
      <c r="A247" s="170">
        <v>21127</v>
      </c>
      <c r="B247" s="170" t="s">
        <v>954</v>
      </c>
      <c r="C247" s="307">
        <f t="shared" si="3"/>
        <v>0.80080000000000007</v>
      </c>
      <c r="G247" s="307">
        <v>0.88</v>
      </c>
    </row>
    <row r="248" spans="1:7" ht="30" customHeight="1">
      <c r="A248" s="170">
        <v>2436</v>
      </c>
      <c r="B248" s="170" t="s">
        <v>513</v>
      </c>
      <c r="C248" s="307">
        <f t="shared" si="3"/>
        <v>12.2759</v>
      </c>
      <c r="G248" s="307">
        <f>G252</f>
        <v>13.49</v>
      </c>
    </row>
    <row r="249" spans="1:7" ht="30" customHeight="1">
      <c r="A249" s="170">
        <v>6111</v>
      </c>
      <c r="B249" s="170" t="s">
        <v>535</v>
      </c>
      <c r="C249" s="307">
        <f t="shared" si="3"/>
        <v>6.4064000000000005</v>
      </c>
      <c r="G249" s="307">
        <f>G253</f>
        <v>7.04</v>
      </c>
    </row>
    <row r="250" spans="1:7" ht="30" customHeight="1">
      <c r="A250" s="170">
        <v>981</v>
      </c>
      <c r="B250" s="170" t="s">
        <v>956</v>
      </c>
      <c r="C250" s="307">
        <f t="shared" si="3"/>
        <v>1.8018000000000001</v>
      </c>
      <c r="G250" s="307">
        <v>1.98</v>
      </c>
    </row>
    <row r="251" spans="1:7" ht="30" customHeight="1">
      <c r="A251" s="170">
        <v>21127</v>
      </c>
      <c r="B251" s="170" t="s">
        <v>954</v>
      </c>
      <c r="C251" s="307">
        <f t="shared" si="3"/>
        <v>0.80080000000000007</v>
      </c>
      <c r="G251" s="307">
        <f>G247</f>
        <v>0.88</v>
      </c>
    </row>
    <row r="252" spans="1:7" ht="30" customHeight="1">
      <c r="A252" s="170">
        <v>2436</v>
      </c>
      <c r="B252" s="170" t="s">
        <v>513</v>
      </c>
      <c r="C252" s="307">
        <f t="shared" si="3"/>
        <v>12.2759</v>
      </c>
      <c r="G252" s="307">
        <f>G244</f>
        <v>13.49</v>
      </c>
    </row>
    <row r="253" spans="1:7" ht="30" customHeight="1">
      <c r="A253" s="170">
        <v>6111</v>
      </c>
      <c r="B253" s="170" t="s">
        <v>535</v>
      </c>
      <c r="C253" s="307">
        <f t="shared" si="3"/>
        <v>6.4064000000000005</v>
      </c>
      <c r="G253" s="307">
        <f>G210</f>
        <v>7.04</v>
      </c>
    </row>
    <row r="254" spans="1:7" ht="30" customHeight="1">
      <c r="A254" s="170">
        <v>982</v>
      </c>
      <c r="B254" s="170" t="s">
        <v>958</v>
      </c>
      <c r="C254" s="307">
        <f t="shared" si="3"/>
        <v>2.7027000000000001</v>
      </c>
      <c r="G254" s="307">
        <v>2.97</v>
      </c>
    </row>
    <row r="255" spans="1:7" ht="30" customHeight="1">
      <c r="A255" s="170">
        <v>21127</v>
      </c>
      <c r="B255" s="170" t="s">
        <v>954</v>
      </c>
      <c r="C255" s="307">
        <f t="shared" si="3"/>
        <v>0.80080000000000007</v>
      </c>
      <c r="G255" s="307">
        <f>G251</f>
        <v>0.88</v>
      </c>
    </row>
    <row r="256" spans="1:7" ht="30" customHeight="1">
      <c r="A256" s="170">
        <v>2436</v>
      </c>
      <c r="B256" s="170" t="s">
        <v>513</v>
      </c>
      <c r="C256" s="307">
        <f t="shared" si="3"/>
        <v>12.2759</v>
      </c>
      <c r="G256" s="307">
        <f>G252</f>
        <v>13.49</v>
      </c>
    </row>
    <row r="257" spans="1:7" ht="30" customHeight="1">
      <c r="A257" s="170">
        <v>6111</v>
      </c>
      <c r="B257" s="170" t="s">
        <v>535</v>
      </c>
      <c r="C257" s="307">
        <f t="shared" si="3"/>
        <v>6.4064000000000005</v>
      </c>
      <c r="G257" s="307">
        <f>G253</f>
        <v>7.04</v>
      </c>
    </row>
    <row r="258" spans="1:7" ht="30" customHeight="1">
      <c r="A258" s="170">
        <v>2556</v>
      </c>
      <c r="B258" s="170" t="s">
        <v>960</v>
      </c>
      <c r="C258" s="307">
        <f t="shared" si="3"/>
        <v>1.4105000000000001</v>
      </c>
      <c r="G258" s="307">
        <v>1.55</v>
      </c>
    </row>
    <row r="259" spans="1:7" ht="30" customHeight="1">
      <c r="A259" s="170">
        <v>2436</v>
      </c>
      <c r="B259" s="170" t="s">
        <v>513</v>
      </c>
      <c r="C259" s="307">
        <f t="shared" si="3"/>
        <v>12.2759</v>
      </c>
      <c r="G259" s="307">
        <f>G256</f>
        <v>13.49</v>
      </c>
    </row>
    <row r="260" spans="1:7" ht="30" customHeight="1">
      <c r="A260" s="170">
        <v>6113</v>
      </c>
      <c r="B260" s="170" t="s">
        <v>514</v>
      </c>
      <c r="C260" s="307">
        <f t="shared" si="3"/>
        <v>6.4064000000000005</v>
      </c>
      <c r="G260" s="307">
        <f>G245</f>
        <v>7.04</v>
      </c>
    </row>
    <row r="261" spans="1:7" ht="30" customHeight="1">
      <c r="A261" s="170">
        <v>2557</v>
      </c>
      <c r="B261" s="170" t="s">
        <v>962</v>
      </c>
      <c r="C261" s="307">
        <f t="shared" si="3"/>
        <v>2.3478000000000003</v>
      </c>
      <c r="G261" s="307">
        <v>2.58</v>
      </c>
    </row>
    <row r="262" spans="1:7" ht="30" customHeight="1">
      <c r="A262" s="170">
        <v>2436</v>
      </c>
      <c r="B262" s="170" t="s">
        <v>513</v>
      </c>
      <c r="C262" s="307">
        <f t="shared" si="3"/>
        <v>12.2759</v>
      </c>
      <c r="G262" s="307">
        <f>G259</f>
        <v>13.49</v>
      </c>
    </row>
    <row r="263" spans="1:7" ht="30" customHeight="1">
      <c r="A263" s="170">
        <v>6113</v>
      </c>
      <c r="B263" s="170" t="s">
        <v>514</v>
      </c>
      <c r="C263" s="307">
        <f t="shared" si="3"/>
        <v>6.4064000000000005</v>
      </c>
      <c r="G263" s="307">
        <f>G260</f>
        <v>7.04</v>
      </c>
    </row>
    <row r="264" spans="1:7" ht="30" customHeight="1">
      <c r="A264" s="170">
        <v>2555</v>
      </c>
      <c r="B264" s="170" t="s">
        <v>964</v>
      </c>
      <c r="C264" s="307">
        <f t="shared" si="3"/>
        <v>2.3478000000000003</v>
      </c>
      <c r="G264" s="307">
        <v>2.58</v>
      </c>
    </row>
    <row r="265" spans="1:7" ht="30" customHeight="1">
      <c r="A265" s="170">
        <v>2436</v>
      </c>
      <c r="B265" s="170" t="s">
        <v>513</v>
      </c>
      <c r="C265" s="307">
        <f t="shared" si="3"/>
        <v>12.2759</v>
      </c>
      <c r="G265" s="307">
        <f>G259</f>
        <v>13.49</v>
      </c>
    </row>
    <row r="266" spans="1:7" ht="30" customHeight="1">
      <c r="A266" s="170">
        <v>6113</v>
      </c>
      <c r="B266" s="170" t="s">
        <v>514</v>
      </c>
      <c r="C266" s="307">
        <f t="shared" ref="C266:C329" si="4">G266*0.91</f>
        <v>6.4064000000000005</v>
      </c>
      <c r="G266" s="307">
        <f>G260</f>
        <v>7.04</v>
      </c>
    </row>
    <row r="267" spans="1:7" ht="30" customHeight="1">
      <c r="A267" s="170">
        <v>1879</v>
      </c>
      <c r="B267" s="170" t="s">
        <v>966</v>
      </c>
      <c r="C267" s="307">
        <f t="shared" si="4"/>
        <v>1.9110000000000003</v>
      </c>
      <c r="G267" s="307">
        <v>2.1</v>
      </c>
    </row>
    <row r="268" spans="1:7" ht="30" customHeight="1">
      <c r="A268" s="170">
        <v>2436</v>
      </c>
      <c r="B268" s="170" t="s">
        <v>513</v>
      </c>
      <c r="C268" s="307">
        <f t="shared" si="4"/>
        <v>12.2759</v>
      </c>
      <c r="G268" s="307">
        <f>G259</f>
        <v>13.49</v>
      </c>
    </row>
    <row r="269" spans="1:7" ht="30" customHeight="1">
      <c r="A269" s="170">
        <v>6113</v>
      </c>
      <c r="B269" s="170" t="s">
        <v>514</v>
      </c>
      <c r="C269" s="307">
        <f t="shared" si="4"/>
        <v>6.4064000000000005</v>
      </c>
      <c r="G269" s="307">
        <f>G263</f>
        <v>7.04</v>
      </c>
    </row>
    <row r="270" spans="1:7" ht="30" customHeight="1">
      <c r="A270" s="310"/>
      <c r="B270" s="310" t="s">
        <v>1458</v>
      </c>
      <c r="C270" s="307">
        <f t="shared" si="4"/>
        <v>101.92</v>
      </c>
      <c r="G270" s="616">
        <v>112</v>
      </c>
    </row>
    <row r="271" spans="1:7" ht="30" customHeight="1">
      <c r="A271" s="170">
        <v>2436</v>
      </c>
      <c r="B271" s="170" t="s">
        <v>513</v>
      </c>
      <c r="C271" s="307">
        <f t="shared" si="4"/>
        <v>12.2759</v>
      </c>
      <c r="G271" s="307">
        <f>G268</f>
        <v>13.49</v>
      </c>
    </row>
    <row r="272" spans="1:7" ht="30" customHeight="1">
      <c r="A272" s="310"/>
      <c r="B272" s="310" t="s">
        <v>1459</v>
      </c>
      <c r="C272" s="307">
        <f t="shared" si="4"/>
        <v>52.325000000000003</v>
      </c>
      <c r="G272" s="616">
        <v>57.5</v>
      </c>
    </row>
    <row r="273" spans="1:7" ht="30" customHeight="1">
      <c r="A273" s="170">
        <v>2436</v>
      </c>
      <c r="B273" s="170" t="s">
        <v>513</v>
      </c>
      <c r="C273" s="307">
        <f t="shared" si="4"/>
        <v>12.2759</v>
      </c>
      <c r="G273" s="307">
        <f>G271</f>
        <v>13.49</v>
      </c>
    </row>
    <row r="274" spans="1:7" ht="30" customHeight="1">
      <c r="A274" s="310"/>
      <c r="B274" s="314" t="s">
        <v>1461</v>
      </c>
      <c r="C274" s="307">
        <f t="shared" si="4"/>
        <v>52.325000000000003</v>
      </c>
      <c r="G274" s="616">
        <v>57.5</v>
      </c>
    </row>
    <row r="275" spans="1:7" ht="30" customHeight="1">
      <c r="A275" s="170">
        <v>2436</v>
      </c>
      <c r="B275" s="170" t="s">
        <v>513</v>
      </c>
      <c r="C275" s="307">
        <f t="shared" si="4"/>
        <v>12.2759</v>
      </c>
      <c r="G275" s="307">
        <f>G273</f>
        <v>13.49</v>
      </c>
    </row>
    <row r="276" spans="1:7" ht="30" customHeight="1">
      <c r="A276" s="170">
        <v>2383</v>
      </c>
      <c r="B276" s="170" t="s">
        <v>1463</v>
      </c>
      <c r="C276" s="307">
        <f t="shared" si="4"/>
        <v>35.6447</v>
      </c>
      <c r="G276" s="616">
        <v>39.17</v>
      </c>
    </row>
    <row r="277" spans="1:7" ht="30" customHeight="1">
      <c r="A277" s="170">
        <v>2436</v>
      </c>
      <c r="B277" s="170" t="s">
        <v>513</v>
      </c>
      <c r="C277" s="307">
        <f t="shared" si="4"/>
        <v>12.2759</v>
      </c>
      <c r="G277" s="307">
        <f>G275</f>
        <v>13.49</v>
      </c>
    </row>
    <row r="278" spans="1:7" ht="30" customHeight="1">
      <c r="A278" s="170">
        <v>2373</v>
      </c>
      <c r="B278" s="170" t="s">
        <v>968</v>
      </c>
      <c r="C278" s="307">
        <f t="shared" si="4"/>
        <v>63.772800000000004</v>
      </c>
      <c r="G278" s="307">
        <v>70.08</v>
      </c>
    </row>
    <row r="279" spans="1:7" ht="30" customHeight="1">
      <c r="A279" s="170">
        <v>2436</v>
      </c>
      <c r="B279" s="170" t="s">
        <v>513</v>
      </c>
      <c r="C279" s="307">
        <f t="shared" si="4"/>
        <v>12.2759</v>
      </c>
      <c r="G279" s="307">
        <f>G277</f>
        <v>13.49</v>
      </c>
    </row>
    <row r="280" spans="1:7" ht="30" customHeight="1">
      <c r="A280" s="170">
        <v>6113</v>
      </c>
      <c r="B280" s="170" t="s">
        <v>514</v>
      </c>
      <c r="C280" s="307">
        <f t="shared" si="4"/>
        <v>6.4064000000000005</v>
      </c>
      <c r="G280" s="307">
        <f>G269</f>
        <v>7.04</v>
      </c>
    </row>
    <row r="281" spans="1:7" ht="30" customHeight="1">
      <c r="A281" s="170">
        <v>2393</v>
      </c>
      <c r="B281" s="170" t="s">
        <v>970</v>
      </c>
      <c r="C281" s="307">
        <f t="shared" si="4"/>
        <v>531.75850000000003</v>
      </c>
      <c r="G281" s="307">
        <v>584.35</v>
      </c>
    </row>
    <row r="282" spans="1:7" ht="30" customHeight="1">
      <c r="A282" s="170">
        <v>2436</v>
      </c>
      <c r="B282" s="170" t="s">
        <v>513</v>
      </c>
      <c r="C282" s="307">
        <f t="shared" si="4"/>
        <v>12.2759</v>
      </c>
      <c r="G282" s="307">
        <f>G279</f>
        <v>13.49</v>
      </c>
    </row>
    <row r="283" spans="1:7" ht="30" customHeight="1">
      <c r="A283" s="170">
        <v>6113</v>
      </c>
      <c r="B283" s="170" t="s">
        <v>514</v>
      </c>
      <c r="C283" s="307">
        <f t="shared" si="4"/>
        <v>6.4064000000000005</v>
      </c>
      <c r="G283" s="307">
        <f>G280</f>
        <v>7.04</v>
      </c>
    </row>
    <row r="284" spans="1:7" ht="30" customHeight="1">
      <c r="A284" s="310">
        <v>16134</v>
      </c>
      <c r="B284" s="310" t="s">
        <v>972</v>
      </c>
      <c r="C284" s="307">
        <f t="shared" si="4"/>
        <v>31.85</v>
      </c>
      <c r="G284" s="616">
        <v>35</v>
      </c>
    </row>
    <row r="285" spans="1:7" ht="30" customHeight="1">
      <c r="A285" s="170">
        <v>2436</v>
      </c>
      <c r="B285" s="170" t="s">
        <v>513</v>
      </c>
      <c r="C285" s="307">
        <f t="shared" si="4"/>
        <v>12.2759</v>
      </c>
      <c r="G285" s="307">
        <f>G277</f>
        <v>13.49</v>
      </c>
    </row>
    <row r="286" spans="1:7" ht="30" customHeight="1">
      <c r="A286" s="170">
        <v>6113</v>
      </c>
      <c r="B286" s="170" t="s">
        <v>514</v>
      </c>
      <c r="C286" s="307">
        <f t="shared" si="4"/>
        <v>6.4064000000000005</v>
      </c>
      <c r="G286" s="307">
        <f>G280</f>
        <v>7.04</v>
      </c>
    </row>
    <row r="287" spans="1:7" ht="30" customHeight="1">
      <c r="A287" s="170">
        <v>2674</v>
      </c>
      <c r="B287" s="170" t="s">
        <v>974</v>
      </c>
      <c r="C287" s="307">
        <f t="shared" si="4"/>
        <v>1.9656000000000002</v>
      </c>
      <c r="G287" s="307">
        <v>2.16</v>
      </c>
    </row>
    <row r="288" spans="1:7" ht="30" customHeight="1">
      <c r="A288" s="170">
        <v>1891</v>
      </c>
      <c r="B288" s="170" t="s">
        <v>975</v>
      </c>
      <c r="C288" s="307">
        <f t="shared" si="4"/>
        <v>1.1011</v>
      </c>
      <c r="G288" s="307">
        <v>1.21</v>
      </c>
    </row>
    <row r="289" spans="1:7" ht="30" customHeight="1">
      <c r="A289" s="170">
        <v>6113</v>
      </c>
      <c r="B289" s="170" t="s">
        <v>514</v>
      </c>
      <c r="C289" s="307">
        <f t="shared" si="4"/>
        <v>6.4064000000000005</v>
      </c>
      <c r="G289" s="307">
        <f>G283</f>
        <v>7.04</v>
      </c>
    </row>
    <row r="290" spans="1:7" ht="30" customHeight="1">
      <c r="A290" s="170">
        <v>2436</v>
      </c>
      <c r="B290" s="170" t="s">
        <v>513</v>
      </c>
      <c r="C290" s="307">
        <f t="shared" si="4"/>
        <v>12.2759</v>
      </c>
      <c r="G290" s="307">
        <f>G285</f>
        <v>13.49</v>
      </c>
    </row>
    <row r="291" spans="1:7" ht="30" customHeight="1">
      <c r="A291" s="170">
        <v>2689</v>
      </c>
      <c r="B291" s="170" t="s">
        <v>976</v>
      </c>
      <c r="C291" s="307">
        <f t="shared" si="4"/>
        <v>1.1921000000000002</v>
      </c>
      <c r="G291" s="307">
        <v>1.31</v>
      </c>
    </row>
    <row r="292" spans="1:7" ht="30" customHeight="1">
      <c r="A292" s="170">
        <v>6113</v>
      </c>
      <c r="B292" s="170" t="s">
        <v>514</v>
      </c>
      <c r="C292" s="307">
        <f t="shared" si="4"/>
        <v>6.4064000000000005</v>
      </c>
      <c r="G292" s="307">
        <f>G289</f>
        <v>7.04</v>
      </c>
    </row>
    <row r="293" spans="1:7" ht="30" customHeight="1">
      <c r="A293" s="170">
        <v>2436</v>
      </c>
      <c r="B293" s="170" t="s">
        <v>513</v>
      </c>
      <c r="C293" s="307">
        <f t="shared" si="4"/>
        <v>12.2759</v>
      </c>
      <c r="G293" s="307">
        <f>G290</f>
        <v>13.49</v>
      </c>
    </row>
    <row r="294" spans="1:7" ht="30" customHeight="1">
      <c r="A294" s="170">
        <v>2688</v>
      </c>
      <c r="B294" s="170" t="s">
        <v>977</v>
      </c>
      <c r="C294" s="307">
        <f t="shared" si="4"/>
        <v>1.5743</v>
      </c>
      <c r="G294" s="307">
        <v>1.73</v>
      </c>
    </row>
    <row r="295" spans="1:7" ht="30" customHeight="1">
      <c r="A295" s="170">
        <v>2436</v>
      </c>
      <c r="B295" s="170" t="s">
        <v>513</v>
      </c>
      <c r="C295" s="307">
        <f t="shared" si="4"/>
        <v>12.2759</v>
      </c>
      <c r="G295" s="307">
        <f>G285</f>
        <v>13.49</v>
      </c>
    </row>
    <row r="296" spans="1:7" ht="30" customHeight="1">
      <c r="A296" s="170">
        <v>6113</v>
      </c>
      <c r="B296" s="170" t="s">
        <v>514</v>
      </c>
      <c r="C296" s="307">
        <f t="shared" si="4"/>
        <v>6.4064000000000005</v>
      </c>
      <c r="G296" s="307">
        <f>G289</f>
        <v>7.04</v>
      </c>
    </row>
    <row r="297" spans="1:7" ht="30" customHeight="1">
      <c r="A297" s="170">
        <v>3380</v>
      </c>
      <c r="B297" s="170" t="s">
        <v>979</v>
      </c>
      <c r="C297" s="307">
        <f t="shared" si="4"/>
        <v>23.068500000000004</v>
      </c>
      <c r="G297" s="307">
        <v>25.35</v>
      </c>
    </row>
    <row r="298" spans="1:7" ht="30" customHeight="1">
      <c r="A298" s="170">
        <v>2436</v>
      </c>
      <c r="B298" s="170" t="s">
        <v>513</v>
      </c>
      <c r="C298" s="307">
        <f t="shared" si="4"/>
        <v>12.2759</v>
      </c>
      <c r="G298" s="307">
        <f>G295</f>
        <v>13.49</v>
      </c>
    </row>
    <row r="299" spans="1:7" ht="30" customHeight="1">
      <c r="A299" s="170">
        <v>6113</v>
      </c>
      <c r="B299" s="170" t="s">
        <v>514</v>
      </c>
      <c r="C299" s="307">
        <f t="shared" si="4"/>
        <v>6.4064000000000005</v>
      </c>
      <c r="G299" s="307">
        <f>G296</f>
        <v>7.04</v>
      </c>
    </row>
    <row r="300" spans="1:7" ht="30" customHeight="1">
      <c r="A300" s="170">
        <v>7564</v>
      </c>
      <c r="B300" s="170" t="s">
        <v>981</v>
      </c>
      <c r="C300" s="307">
        <f t="shared" si="4"/>
        <v>2.9302000000000001</v>
      </c>
      <c r="G300" s="307">
        <v>3.22</v>
      </c>
    </row>
    <row r="301" spans="1:7" ht="30" customHeight="1">
      <c r="A301" s="170">
        <v>2436</v>
      </c>
      <c r="B301" s="170" t="s">
        <v>513</v>
      </c>
      <c r="C301" s="307">
        <f t="shared" si="4"/>
        <v>12.2759</v>
      </c>
      <c r="G301" s="307">
        <f>G295</f>
        <v>13.49</v>
      </c>
    </row>
    <row r="302" spans="1:7" ht="30" customHeight="1">
      <c r="A302" s="170">
        <v>6113</v>
      </c>
      <c r="B302" s="170" t="s">
        <v>514</v>
      </c>
      <c r="C302" s="307">
        <f t="shared" si="4"/>
        <v>6.4064000000000005</v>
      </c>
      <c r="G302" s="307">
        <f>G296</f>
        <v>7.04</v>
      </c>
    </row>
    <row r="303" spans="1:7" ht="30" customHeight="1">
      <c r="A303" s="170">
        <v>7563</v>
      </c>
      <c r="B303" s="170" t="s">
        <v>983</v>
      </c>
      <c r="C303" s="307">
        <f t="shared" si="4"/>
        <v>4.2952000000000004</v>
      </c>
      <c r="G303" s="307">
        <v>4.72</v>
      </c>
    </row>
    <row r="304" spans="1:7" ht="30" customHeight="1">
      <c r="A304" s="170">
        <v>2436</v>
      </c>
      <c r="B304" s="170" t="s">
        <v>513</v>
      </c>
      <c r="C304" s="307">
        <f t="shared" si="4"/>
        <v>12.2759</v>
      </c>
      <c r="G304" s="307">
        <f>G301</f>
        <v>13.49</v>
      </c>
    </row>
    <row r="305" spans="1:7" ht="30" customHeight="1">
      <c r="A305" s="170">
        <v>6113</v>
      </c>
      <c r="B305" s="170" t="s">
        <v>514</v>
      </c>
      <c r="C305" s="307">
        <f t="shared" si="4"/>
        <v>6.4064000000000005</v>
      </c>
      <c r="G305" s="307">
        <f>G302</f>
        <v>7.04</v>
      </c>
    </row>
    <row r="306" spans="1:7" ht="36" customHeight="1">
      <c r="A306" s="170">
        <v>3799</v>
      </c>
      <c r="B306" s="245" t="s">
        <v>1519</v>
      </c>
      <c r="C306" s="307">
        <f t="shared" si="4"/>
        <v>50.468600000000002</v>
      </c>
      <c r="G306" s="307">
        <v>55.46</v>
      </c>
    </row>
    <row r="307" spans="1:7" ht="30" customHeight="1">
      <c r="A307" s="170">
        <v>2436</v>
      </c>
      <c r="B307" s="170" t="s">
        <v>513</v>
      </c>
      <c r="C307" s="307">
        <f t="shared" si="4"/>
        <v>12.2759</v>
      </c>
      <c r="G307" s="307">
        <f>G304</f>
        <v>13.49</v>
      </c>
    </row>
    <row r="308" spans="1:7" ht="30" customHeight="1">
      <c r="A308" s="170">
        <v>6111</v>
      </c>
      <c r="B308" s="170" t="s">
        <v>535</v>
      </c>
      <c r="C308" s="307">
        <f t="shared" si="4"/>
        <v>6.4064000000000005</v>
      </c>
      <c r="G308" s="307">
        <f>G253</f>
        <v>7.04</v>
      </c>
    </row>
    <row r="309" spans="1:7" ht="30" customHeight="1">
      <c r="A309" s="170">
        <v>21127</v>
      </c>
      <c r="B309" s="170" t="s">
        <v>954</v>
      </c>
      <c r="C309" s="307">
        <f t="shared" si="4"/>
        <v>0.80080000000000007</v>
      </c>
      <c r="G309" s="307">
        <f>G251</f>
        <v>0.88</v>
      </c>
    </row>
    <row r="310" spans="1:7" ht="30" customHeight="1">
      <c r="A310" s="170">
        <v>12266</v>
      </c>
      <c r="B310" s="170" t="s">
        <v>985</v>
      </c>
      <c r="C310" s="307">
        <f t="shared" si="4"/>
        <v>8.6722999999999999</v>
      </c>
      <c r="G310" s="307">
        <v>9.5299999999999994</v>
      </c>
    </row>
    <row r="311" spans="1:7" ht="30" customHeight="1">
      <c r="A311" s="170">
        <v>6113</v>
      </c>
      <c r="B311" s="170" t="s">
        <v>514</v>
      </c>
      <c r="C311" s="307">
        <f t="shared" si="4"/>
        <v>6.4064000000000005</v>
      </c>
      <c r="G311" s="307">
        <f>G305</f>
        <v>7.04</v>
      </c>
    </row>
    <row r="312" spans="1:7" ht="30" customHeight="1">
      <c r="A312" s="170">
        <v>2436</v>
      </c>
      <c r="B312" s="170" t="s">
        <v>513</v>
      </c>
      <c r="C312" s="307">
        <f t="shared" si="4"/>
        <v>12.2759</v>
      </c>
      <c r="G312" s="307">
        <f>G307</f>
        <v>13.49</v>
      </c>
    </row>
    <row r="313" spans="1:7" ht="36.75" customHeight="1">
      <c r="A313" s="170">
        <v>12272</v>
      </c>
      <c r="B313" s="170" t="s">
        <v>987</v>
      </c>
      <c r="C313" s="307">
        <f t="shared" si="4"/>
        <v>58.804200000000009</v>
      </c>
      <c r="G313" s="307">
        <v>64.62</v>
      </c>
    </row>
    <row r="314" spans="1:7" ht="30" customHeight="1">
      <c r="A314" s="170">
        <v>2436</v>
      </c>
      <c r="B314" s="170" t="s">
        <v>513</v>
      </c>
      <c r="C314" s="307">
        <f t="shared" si="4"/>
        <v>12.2759</v>
      </c>
      <c r="G314" s="307">
        <f>G307</f>
        <v>13.49</v>
      </c>
    </row>
    <row r="315" spans="1:7" ht="30" customHeight="1">
      <c r="A315" s="170">
        <v>6113</v>
      </c>
      <c r="B315" s="170" t="s">
        <v>514</v>
      </c>
      <c r="C315" s="307">
        <f t="shared" si="4"/>
        <v>6.4064000000000005</v>
      </c>
      <c r="G315" s="307">
        <f>G305</f>
        <v>7.04</v>
      </c>
    </row>
    <row r="316" spans="1:7" ht="30" customHeight="1">
      <c r="A316" s="170">
        <v>12265</v>
      </c>
      <c r="B316" s="170" t="s">
        <v>989</v>
      </c>
      <c r="C316" s="307">
        <f t="shared" si="4"/>
        <v>241.70510000000002</v>
      </c>
      <c r="G316" s="307">
        <v>265.61</v>
      </c>
    </row>
    <row r="317" spans="1:7" ht="30" customHeight="1">
      <c r="A317" s="170">
        <v>2436</v>
      </c>
      <c r="B317" s="170" t="s">
        <v>513</v>
      </c>
      <c r="C317" s="307">
        <f t="shared" si="4"/>
        <v>12.2759</v>
      </c>
      <c r="G317" s="307">
        <f>G314</f>
        <v>13.49</v>
      </c>
    </row>
    <row r="318" spans="1:7" ht="30" customHeight="1">
      <c r="A318" s="170">
        <v>6113</v>
      </c>
      <c r="B318" s="170" t="s">
        <v>514</v>
      </c>
      <c r="C318" s="307">
        <f t="shared" si="4"/>
        <v>6.4064000000000005</v>
      </c>
      <c r="G318" s="307">
        <f>G315</f>
        <v>7.04</v>
      </c>
    </row>
    <row r="319" spans="1:7" ht="30" customHeight="1">
      <c r="A319" s="310">
        <v>13939</v>
      </c>
      <c r="B319" s="310" t="s">
        <v>991</v>
      </c>
      <c r="C319" s="307">
        <f t="shared" si="4"/>
        <v>101.92</v>
      </c>
      <c r="G319" s="616">
        <v>112</v>
      </c>
    </row>
    <row r="320" spans="1:7" ht="30" customHeight="1">
      <c r="A320" s="170">
        <v>2436</v>
      </c>
      <c r="B320" s="170" t="s">
        <v>513</v>
      </c>
      <c r="C320" s="307">
        <f t="shared" si="4"/>
        <v>12.2759</v>
      </c>
      <c r="G320" s="307">
        <f>G317</f>
        <v>13.49</v>
      </c>
    </row>
    <row r="321" spans="1:7" ht="30" customHeight="1">
      <c r="A321" s="170">
        <v>6113</v>
      </c>
      <c r="B321" s="170" t="s">
        <v>514</v>
      </c>
      <c r="C321" s="307">
        <f t="shared" si="4"/>
        <v>6.4064000000000005</v>
      </c>
      <c r="G321" s="307">
        <f>G318</f>
        <v>7.04</v>
      </c>
    </row>
    <row r="322" spans="1:7" ht="38.25" customHeight="1">
      <c r="A322" s="170">
        <v>12042</v>
      </c>
      <c r="B322" s="170" t="s">
        <v>993</v>
      </c>
      <c r="C322" s="307">
        <f t="shared" si="4"/>
        <v>618.19030000000009</v>
      </c>
      <c r="G322" s="307">
        <v>679.33</v>
      </c>
    </row>
    <row r="323" spans="1:7" ht="30" customHeight="1">
      <c r="A323" s="170">
        <v>2436</v>
      </c>
      <c r="B323" s="170" t="s">
        <v>513</v>
      </c>
      <c r="C323" s="307">
        <f t="shared" si="4"/>
        <v>12.2759</v>
      </c>
      <c r="G323" s="307">
        <f>G320</f>
        <v>13.49</v>
      </c>
    </row>
    <row r="324" spans="1:7" ht="30" customHeight="1">
      <c r="A324" s="170">
        <v>6111</v>
      </c>
      <c r="B324" s="170" t="s">
        <v>535</v>
      </c>
      <c r="C324" s="307">
        <f t="shared" si="4"/>
        <v>6.4064000000000005</v>
      </c>
      <c r="G324" s="307">
        <f>G308</f>
        <v>7.04</v>
      </c>
    </row>
    <row r="325" spans="1:7" ht="30" customHeight="1">
      <c r="A325" s="170">
        <v>12043</v>
      </c>
      <c r="B325" s="170" t="s">
        <v>995</v>
      </c>
      <c r="C325" s="307">
        <f t="shared" si="4"/>
        <v>863.94489999999996</v>
      </c>
      <c r="G325" s="307">
        <v>949.39</v>
      </c>
    </row>
    <row r="326" spans="1:7" ht="30" customHeight="1">
      <c r="A326" s="170">
        <v>2436</v>
      </c>
      <c r="B326" s="170" t="s">
        <v>513</v>
      </c>
      <c r="C326" s="307">
        <f t="shared" si="4"/>
        <v>12.2759</v>
      </c>
      <c r="G326" s="307">
        <f>G317</f>
        <v>13.49</v>
      </c>
    </row>
    <row r="327" spans="1:7" ht="30" customHeight="1">
      <c r="A327" s="170">
        <v>6113</v>
      </c>
      <c r="B327" s="170" t="s">
        <v>514</v>
      </c>
      <c r="C327" s="307">
        <f t="shared" si="4"/>
        <v>6.4064000000000005</v>
      </c>
      <c r="G327" s="307">
        <f>G318</f>
        <v>7.04</v>
      </c>
    </row>
    <row r="328" spans="1:7" ht="30" customHeight="1">
      <c r="A328" s="170">
        <v>7529</v>
      </c>
      <c r="B328" s="170" t="s">
        <v>997</v>
      </c>
      <c r="C328" s="307">
        <f t="shared" si="4"/>
        <v>10.647</v>
      </c>
      <c r="G328" s="307">
        <v>11.7</v>
      </c>
    </row>
    <row r="329" spans="1:7" ht="30" customHeight="1">
      <c r="A329" s="170">
        <v>2436</v>
      </c>
      <c r="B329" s="170" t="s">
        <v>513</v>
      </c>
      <c r="C329" s="307">
        <f t="shared" si="4"/>
        <v>12.2759</v>
      </c>
      <c r="G329" s="307">
        <f>G326</f>
        <v>13.49</v>
      </c>
    </row>
    <row r="330" spans="1:7" ht="30" customHeight="1">
      <c r="A330" s="170">
        <v>6113</v>
      </c>
      <c r="B330" s="170" t="s">
        <v>514</v>
      </c>
      <c r="C330" s="307">
        <f t="shared" ref="C330:C393" si="5">G330*0.91</f>
        <v>6.4064000000000005</v>
      </c>
      <c r="G330" s="307">
        <f>G327</f>
        <v>7.04</v>
      </c>
    </row>
    <row r="331" spans="1:7" ht="30" customHeight="1">
      <c r="A331" s="170">
        <v>979</v>
      </c>
      <c r="B331" s="170" t="s">
        <v>1026</v>
      </c>
      <c r="C331" s="307">
        <f t="shared" si="5"/>
        <v>5.5145999999999997</v>
      </c>
      <c r="G331" s="307">
        <v>6.06</v>
      </c>
    </row>
    <row r="332" spans="1:7" ht="30" customHeight="1">
      <c r="A332" s="170">
        <v>2436</v>
      </c>
      <c r="B332" s="170" t="s">
        <v>513</v>
      </c>
      <c r="C332" s="307">
        <f t="shared" si="5"/>
        <v>12.2759</v>
      </c>
      <c r="G332" s="307">
        <f>G329</f>
        <v>13.49</v>
      </c>
    </row>
    <row r="333" spans="1:7" ht="30" customHeight="1">
      <c r="A333" s="170">
        <v>6111</v>
      </c>
      <c r="B333" s="170" t="s">
        <v>535</v>
      </c>
      <c r="C333" s="307">
        <f t="shared" si="5"/>
        <v>6.4064000000000005</v>
      </c>
      <c r="G333" s="307">
        <f>G324</f>
        <v>7.04</v>
      </c>
    </row>
    <row r="334" spans="1:7" ht="30" customHeight="1">
      <c r="A334" s="170">
        <v>11250</v>
      </c>
      <c r="B334" s="170" t="s">
        <v>1007</v>
      </c>
      <c r="C334" s="307">
        <f t="shared" si="5"/>
        <v>68.550300000000007</v>
      </c>
      <c r="G334" s="307">
        <v>75.33</v>
      </c>
    </row>
    <row r="335" spans="1:7" ht="30" customHeight="1">
      <c r="A335" s="170">
        <v>6113</v>
      </c>
      <c r="B335" s="170" t="s">
        <v>514</v>
      </c>
      <c r="C335" s="307">
        <f t="shared" si="5"/>
        <v>6.4064000000000005</v>
      </c>
      <c r="G335" s="307">
        <f>G330</f>
        <v>7.04</v>
      </c>
    </row>
    <row r="336" spans="1:7" ht="30" customHeight="1">
      <c r="A336" s="170">
        <v>2436</v>
      </c>
      <c r="B336" s="170" t="s">
        <v>513</v>
      </c>
      <c r="C336" s="307">
        <f t="shared" si="5"/>
        <v>12.2759</v>
      </c>
      <c r="G336" s="307">
        <f>G332</f>
        <v>13.49</v>
      </c>
    </row>
    <row r="337" spans="1:7" ht="30" customHeight="1">
      <c r="A337" s="170">
        <v>12021</v>
      </c>
      <c r="B337" s="170" t="s">
        <v>1267</v>
      </c>
      <c r="C337" s="307">
        <f t="shared" si="5"/>
        <v>4.9776999999999996</v>
      </c>
      <c r="G337" s="307">
        <v>5.47</v>
      </c>
    </row>
    <row r="338" spans="1:7" ht="30" customHeight="1">
      <c r="A338" s="170">
        <v>6113</v>
      </c>
      <c r="B338" s="170" t="s">
        <v>514</v>
      </c>
      <c r="C338" s="307">
        <f t="shared" si="5"/>
        <v>6.4064000000000005</v>
      </c>
      <c r="G338" s="307">
        <f>G335</f>
        <v>7.04</v>
      </c>
    </row>
    <row r="339" spans="1:7" ht="30" customHeight="1">
      <c r="A339" s="170">
        <v>2436</v>
      </c>
      <c r="B339" s="170" t="s">
        <v>513</v>
      </c>
      <c r="C339" s="307">
        <f t="shared" si="5"/>
        <v>12.2759</v>
      </c>
      <c r="G339" s="307">
        <f>G336</f>
        <v>13.49</v>
      </c>
    </row>
    <row r="340" spans="1:7" ht="30" customHeight="1">
      <c r="A340" s="170">
        <v>2685</v>
      </c>
      <c r="B340" s="170" t="s">
        <v>1270</v>
      </c>
      <c r="C340" s="307">
        <f t="shared" si="5"/>
        <v>2.9666000000000001</v>
      </c>
      <c r="G340" s="307">
        <v>3.26</v>
      </c>
    </row>
    <row r="341" spans="1:7" ht="30" customHeight="1">
      <c r="A341" s="170">
        <v>1892</v>
      </c>
      <c r="B341" s="170" t="s">
        <v>1271</v>
      </c>
      <c r="C341" s="307">
        <f t="shared" si="5"/>
        <v>1.3923000000000001</v>
      </c>
      <c r="G341" s="307">
        <v>1.53</v>
      </c>
    </row>
    <row r="342" spans="1:7" ht="30" customHeight="1">
      <c r="A342" s="170">
        <v>6113</v>
      </c>
      <c r="B342" s="170" t="s">
        <v>514</v>
      </c>
      <c r="C342" s="307">
        <f t="shared" si="5"/>
        <v>6.4064000000000005</v>
      </c>
      <c r="G342" s="307">
        <f>G335</f>
        <v>7.04</v>
      </c>
    </row>
    <row r="343" spans="1:7" ht="30" customHeight="1">
      <c r="A343" s="170">
        <v>2436</v>
      </c>
      <c r="B343" s="170" t="s">
        <v>513</v>
      </c>
      <c r="C343" s="307">
        <f t="shared" si="5"/>
        <v>12.2759</v>
      </c>
      <c r="G343" s="307">
        <f>G339</f>
        <v>13.49</v>
      </c>
    </row>
    <row r="344" spans="1:7" ht="30" customHeight="1">
      <c r="A344" s="170">
        <v>2681</v>
      </c>
      <c r="B344" s="170" t="s">
        <v>1274</v>
      </c>
      <c r="C344" s="307">
        <f t="shared" si="5"/>
        <v>7.0706999999999995</v>
      </c>
      <c r="G344" s="307">
        <v>7.77</v>
      </c>
    </row>
    <row r="345" spans="1:7" ht="30" customHeight="1">
      <c r="A345" s="170">
        <v>1894</v>
      </c>
      <c r="B345" s="170" t="s">
        <v>1275</v>
      </c>
      <c r="C345" s="307">
        <f t="shared" si="5"/>
        <v>4.7320000000000002</v>
      </c>
      <c r="G345" s="307">
        <v>5.2</v>
      </c>
    </row>
    <row r="346" spans="1:7" ht="30" customHeight="1">
      <c r="A346" s="170">
        <v>6113</v>
      </c>
      <c r="B346" s="170" t="s">
        <v>514</v>
      </c>
      <c r="C346" s="307">
        <f t="shared" si="5"/>
        <v>6.4064000000000005</v>
      </c>
      <c r="G346" s="307">
        <f>G342</f>
        <v>7.04</v>
      </c>
    </row>
    <row r="347" spans="1:7" ht="30" customHeight="1">
      <c r="A347" s="170">
        <v>2436</v>
      </c>
      <c r="B347" s="170" t="s">
        <v>513</v>
      </c>
      <c r="C347" s="307">
        <f t="shared" si="5"/>
        <v>12.2759</v>
      </c>
      <c r="G347" s="307">
        <f>G343</f>
        <v>13.49</v>
      </c>
    </row>
    <row r="348" spans="1:7" ht="30" customHeight="1">
      <c r="A348" s="170">
        <v>12223</v>
      </c>
      <c r="B348" s="170" t="s">
        <v>1278</v>
      </c>
      <c r="C348" s="307">
        <f t="shared" si="5"/>
        <v>77.413699999999992</v>
      </c>
      <c r="G348" s="307">
        <v>85.07</v>
      </c>
    </row>
    <row r="349" spans="1:7" ht="30" customHeight="1">
      <c r="A349" s="170">
        <v>6113</v>
      </c>
      <c r="B349" s="170" t="s">
        <v>514</v>
      </c>
      <c r="C349" s="307">
        <f t="shared" si="5"/>
        <v>6.4064000000000005</v>
      </c>
      <c r="G349" s="307">
        <f>G346</f>
        <v>7.04</v>
      </c>
    </row>
    <row r="350" spans="1:7" ht="30" customHeight="1">
      <c r="A350" s="170">
        <v>2436</v>
      </c>
      <c r="B350" s="170" t="s">
        <v>513</v>
      </c>
      <c r="C350" s="307">
        <f t="shared" si="5"/>
        <v>12.2759</v>
      </c>
      <c r="G350" s="307">
        <f>G347</f>
        <v>13.49</v>
      </c>
    </row>
    <row r="351" spans="1:7" ht="30" customHeight="1">
      <c r="A351" s="170">
        <v>852</v>
      </c>
      <c r="B351" s="170" t="s">
        <v>1282</v>
      </c>
      <c r="C351" s="307">
        <f t="shared" si="5"/>
        <v>1.4378000000000002</v>
      </c>
      <c r="G351" s="307">
        <v>1.58</v>
      </c>
    </row>
    <row r="352" spans="1:7" ht="30" customHeight="1">
      <c r="A352" s="170">
        <v>853</v>
      </c>
      <c r="B352" s="170" t="s">
        <v>1283</v>
      </c>
      <c r="C352" s="307">
        <f t="shared" si="5"/>
        <v>1.4560000000000002</v>
      </c>
      <c r="G352" s="307">
        <v>1.6</v>
      </c>
    </row>
    <row r="353" spans="1:7" ht="30" customHeight="1">
      <c r="A353" s="170">
        <v>7568</v>
      </c>
      <c r="B353" s="170" t="s">
        <v>727</v>
      </c>
      <c r="C353" s="307">
        <f t="shared" si="5"/>
        <v>0.42769999999999997</v>
      </c>
      <c r="G353" s="307">
        <v>0.47</v>
      </c>
    </row>
    <row r="354" spans="1:7" ht="30" customHeight="1">
      <c r="A354" s="170">
        <v>13393</v>
      </c>
      <c r="B354" s="170" t="s">
        <v>1284</v>
      </c>
      <c r="C354" s="307">
        <f t="shared" si="5"/>
        <v>210.40110000000001</v>
      </c>
      <c r="G354" s="307">
        <v>231.21</v>
      </c>
    </row>
    <row r="355" spans="1:7" ht="30" customHeight="1">
      <c r="A355" s="170">
        <v>7583</v>
      </c>
      <c r="B355" s="170" t="s">
        <v>1285</v>
      </c>
      <c r="C355" s="307">
        <f t="shared" si="5"/>
        <v>0.20930000000000001</v>
      </c>
      <c r="G355" s="307">
        <v>0.23</v>
      </c>
    </row>
    <row r="356" spans="1:7" ht="30" customHeight="1">
      <c r="A356" s="170">
        <v>6111</v>
      </c>
      <c r="B356" s="170" t="s">
        <v>775</v>
      </c>
      <c r="C356" s="307">
        <f t="shared" si="5"/>
        <v>6.4064000000000005</v>
      </c>
      <c r="G356" s="307">
        <f>G324</f>
        <v>7.04</v>
      </c>
    </row>
    <row r="357" spans="1:7" ht="30" customHeight="1">
      <c r="A357" s="170">
        <v>2436</v>
      </c>
      <c r="B357" s="170" t="s">
        <v>513</v>
      </c>
      <c r="C357" s="307">
        <f t="shared" si="5"/>
        <v>12.2759</v>
      </c>
      <c r="G357" s="307">
        <f>G350</f>
        <v>13.49</v>
      </c>
    </row>
    <row r="358" spans="1:7" ht="30" customHeight="1">
      <c r="A358" s="170">
        <v>2510</v>
      </c>
      <c r="B358" s="170" t="s">
        <v>1288</v>
      </c>
      <c r="C358" s="307">
        <f t="shared" si="5"/>
        <v>21.2667</v>
      </c>
      <c r="G358" s="307">
        <v>23.37</v>
      </c>
    </row>
    <row r="359" spans="1:7" ht="30" customHeight="1">
      <c r="A359" s="170">
        <v>6113</v>
      </c>
      <c r="B359" s="170" t="s">
        <v>514</v>
      </c>
      <c r="C359" s="307">
        <f t="shared" si="5"/>
        <v>6.4064000000000005</v>
      </c>
      <c r="G359" s="307">
        <f>G349</f>
        <v>7.04</v>
      </c>
    </row>
    <row r="360" spans="1:7" ht="30" customHeight="1">
      <c r="A360" s="170">
        <v>2436</v>
      </c>
      <c r="B360" s="170" t="s">
        <v>513</v>
      </c>
      <c r="C360" s="307">
        <f t="shared" si="5"/>
        <v>12.2759</v>
      </c>
      <c r="G360" s="307">
        <f>G357</f>
        <v>13.49</v>
      </c>
    </row>
    <row r="361" spans="1:7" ht="30" customHeight="1">
      <c r="A361" s="170">
        <v>333</v>
      </c>
      <c r="B361" s="170" t="s">
        <v>949</v>
      </c>
      <c r="C361" s="307">
        <f t="shared" si="5"/>
        <v>10.01</v>
      </c>
      <c r="G361" s="307">
        <f>G240</f>
        <v>11</v>
      </c>
    </row>
    <row r="362" spans="1:7" ht="30" customHeight="1">
      <c r="A362" s="170">
        <v>2436</v>
      </c>
      <c r="B362" s="170" t="s">
        <v>513</v>
      </c>
      <c r="C362" s="307">
        <f t="shared" si="5"/>
        <v>12.2759</v>
      </c>
      <c r="G362" s="307">
        <f>G357</f>
        <v>13.49</v>
      </c>
    </row>
    <row r="363" spans="1:7" ht="30" customHeight="1">
      <c r="A363" s="170">
        <v>6113</v>
      </c>
      <c r="B363" s="170" t="s">
        <v>514</v>
      </c>
      <c r="C363" s="307">
        <f t="shared" si="5"/>
        <v>6.4064000000000005</v>
      </c>
      <c r="G363" s="307">
        <f>G359</f>
        <v>7.04</v>
      </c>
    </row>
    <row r="364" spans="1:7" ht="30" customHeight="1">
      <c r="A364" s="310">
        <v>3741</v>
      </c>
      <c r="B364" s="310" t="s">
        <v>998</v>
      </c>
      <c r="C364" s="307">
        <f t="shared" si="5"/>
        <v>13.65</v>
      </c>
      <c r="G364" s="616">
        <v>15</v>
      </c>
    </row>
    <row r="365" spans="1:7" ht="30" customHeight="1">
      <c r="A365" s="170">
        <v>2436</v>
      </c>
      <c r="B365" s="170" t="s">
        <v>513</v>
      </c>
      <c r="C365" s="307">
        <f t="shared" si="5"/>
        <v>12.2759</v>
      </c>
      <c r="G365" s="307">
        <f>G362</f>
        <v>13.49</v>
      </c>
    </row>
    <row r="366" spans="1:7" ht="30" customHeight="1">
      <c r="A366" s="170">
        <v>6113</v>
      </c>
      <c r="B366" s="170" t="s">
        <v>514</v>
      </c>
      <c r="C366" s="307">
        <f t="shared" si="5"/>
        <v>6.4064000000000005</v>
      </c>
      <c r="G366" s="307">
        <f>G363</f>
        <v>7.04</v>
      </c>
    </row>
    <row r="367" spans="1:7" ht="30" customHeight="1">
      <c r="A367" s="170">
        <v>412</v>
      </c>
      <c r="B367" s="170" t="s">
        <v>1000</v>
      </c>
      <c r="C367" s="307">
        <f t="shared" si="5"/>
        <v>0.14560000000000001</v>
      </c>
      <c r="G367" s="307">
        <v>0.16</v>
      </c>
    </row>
    <row r="368" spans="1:7" ht="30" customHeight="1">
      <c r="A368" s="170">
        <v>6113</v>
      </c>
      <c r="B368" s="170" t="s">
        <v>514</v>
      </c>
      <c r="C368" s="307">
        <f t="shared" si="5"/>
        <v>6.4064000000000005</v>
      </c>
      <c r="G368" s="307">
        <f>G363</f>
        <v>7.04</v>
      </c>
    </row>
    <row r="369" spans="1:7" ht="30" customHeight="1">
      <c r="A369" s="170">
        <v>2436</v>
      </c>
      <c r="B369" s="170" t="s">
        <v>513</v>
      </c>
      <c r="C369" s="307">
        <f t="shared" si="5"/>
        <v>12.2759</v>
      </c>
      <c r="G369" s="307">
        <f>G362</f>
        <v>13.49</v>
      </c>
    </row>
    <row r="370" spans="1:7" ht="30" customHeight="1">
      <c r="A370" s="170">
        <v>11921</v>
      </c>
      <c r="B370" s="170" t="s">
        <v>1002</v>
      </c>
      <c r="C370" s="307">
        <f t="shared" si="5"/>
        <v>4.2496999999999998</v>
      </c>
      <c r="G370" s="307">
        <v>4.67</v>
      </c>
    </row>
    <row r="371" spans="1:7" ht="30" customHeight="1">
      <c r="A371" s="170">
        <v>2436</v>
      </c>
      <c r="B371" s="170" t="s">
        <v>513</v>
      </c>
      <c r="C371" s="307">
        <f t="shared" si="5"/>
        <v>12.2759</v>
      </c>
      <c r="G371" s="307">
        <f>G369</f>
        <v>13.49</v>
      </c>
    </row>
    <row r="372" spans="1:7" ht="30" customHeight="1">
      <c r="A372" s="170">
        <v>6111</v>
      </c>
      <c r="B372" s="170" t="s">
        <v>535</v>
      </c>
      <c r="C372" s="307">
        <f t="shared" si="5"/>
        <v>6.4064000000000005</v>
      </c>
      <c r="G372" s="307">
        <f>G356</f>
        <v>7.04</v>
      </c>
    </row>
    <row r="373" spans="1:7" ht="30" customHeight="1">
      <c r="A373" s="170">
        <v>11918</v>
      </c>
      <c r="B373" s="170" t="s">
        <v>1004</v>
      </c>
      <c r="C373" s="307">
        <f t="shared" si="5"/>
        <v>4.7774999999999999</v>
      </c>
      <c r="G373" s="307">
        <v>5.25</v>
      </c>
    </row>
    <row r="374" spans="1:7" ht="30" customHeight="1">
      <c r="A374" s="170">
        <v>2436</v>
      </c>
      <c r="B374" s="170" t="s">
        <v>513</v>
      </c>
      <c r="C374" s="307">
        <f t="shared" si="5"/>
        <v>12.2759</v>
      </c>
      <c r="G374" s="307">
        <f>G365</f>
        <v>13.49</v>
      </c>
    </row>
    <row r="375" spans="1:7" ht="30" customHeight="1">
      <c r="A375" s="170">
        <v>6113</v>
      </c>
      <c r="B375" s="170" t="s">
        <v>514</v>
      </c>
      <c r="C375" s="307">
        <f t="shared" si="5"/>
        <v>6.4064000000000005</v>
      </c>
      <c r="G375" s="307">
        <f>G368</f>
        <v>7.04</v>
      </c>
    </row>
    <row r="376" spans="1:7" ht="30" customHeight="1">
      <c r="A376" s="310"/>
      <c r="B376" s="310" t="s">
        <v>1005</v>
      </c>
      <c r="C376" s="307">
        <f t="shared" si="5"/>
        <v>1.9564999999999999</v>
      </c>
      <c r="G376" s="616">
        <v>2.15</v>
      </c>
    </row>
    <row r="377" spans="1:7" ht="30" customHeight="1">
      <c r="A377" s="170">
        <v>6111</v>
      </c>
      <c r="B377" s="170" t="s">
        <v>535</v>
      </c>
      <c r="C377" s="307">
        <f t="shared" si="5"/>
        <v>6.4064000000000005</v>
      </c>
      <c r="G377" s="307">
        <f>G372</f>
        <v>7.04</v>
      </c>
    </row>
    <row r="378" spans="1:7" ht="30" customHeight="1">
      <c r="A378" s="170">
        <v>2436</v>
      </c>
      <c r="B378" s="170" t="s">
        <v>513</v>
      </c>
      <c r="C378" s="307">
        <f t="shared" si="5"/>
        <v>12.2759</v>
      </c>
      <c r="G378" s="307">
        <f>G374</f>
        <v>13.49</v>
      </c>
    </row>
    <row r="379" spans="1:7" ht="30" customHeight="1">
      <c r="A379" s="170">
        <v>2556</v>
      </c>
      <c r="B379" s="170" t="s">
        <v>960</v>
      </c>
      <c r="C379" s="307">
        <f t="shared" si="5"/>
        <v>1.4105000000000001</v>
      </c>
      <c r="G379" s="307">
        <v>1.55</v>
      </c>
    </row>
    <row r="380" spans="1:7" ht="30" customHeight="1">
      <c r="A380" s="170">
        <v>2436</v>
      </c>
      <c r="B380" s="170" t="s">
        <v>513</v>
      </c>
      <c r="C380" s="307">
        <f t="shared" si="5"/>
        <v>12.2759</v>
      </c>
      <c r="G380" s="307">
        <f>G378</f>
        <v>13.49</v>
      </c>
    </row>
    <row r="381" spans="1:7" ht="30" customHeight="1">
      <c r="A381" s="170">
        <v>6113</v>
      </c>
      <c r="B381" s="170" t="s">
        <v>514</v>
      </c>
      <c r="C381" s="307">
        <f t="shared" si="5"/>
        <v>6.4064000000000005</v>
      </c>
      <c r="G381" s="307">
        <f>G375</f>
        <v>7.04</v>
      </c>
    </row>
    <row r="382" spans="1:7" ht="30" customHeight="1">
      <c r="A382" s="170">
        <v>11250</v>
      </c>
      <c r="B382" s="170" t="s">
        <v>1007</v>
      </c>
      <c r="C382" s="307">
        <f t="shared" si="5"/>
        <v>68.550300000000007</v>
      </c>
      <c r="G382" s="307">
        <v>75.33</v>
      </c>
    </row>
    <row r="383" spans="1:7" ht="30" customHeight="1">
      <c r="A383" s="170">
        <v>6113</v>
      </c>
      <c r="B383" s="170" t="s">
        <v>514</v>
      </c>
      <c r="C383" s="307">
        <f t="shared" si="5"/>
        <v>6.4064000000000005</v>
      </c>
      <c r="G383" s="307">
        <f>G381</f>
        <v>7.04</v>
      </c>
    </row>
    <row r="384" spans="1:7" ht="30" customHeight="1">
      <c r="A384" s="170">
        <v>2436</v>
      </c>
      <c r="B384" s="170" t="s">
        <v>513</v>
      </c>
      <c r="C384" s="307">
        <f t="shared" si="5"/>
        <v>12.2759</v>
      </c>
      <c r="G384" s="307">
        <f>G380</f>
        <v>13.49</v>
      </c>
    </row>
    <row r="385" spans="1:7" ht="30" customHeight="1">
      <c r="A385" s="170">
        <v>32</v>
      </c>
      <c r="B385" s="170" t="s">
        <v>1009</v>
      </c>
      <c r="C385" s="307">
        <f t="shared" si="5"/>
        <v>3.5489999999999999</v>
      </c>
      <c r="G385" s="307">
        <v>3.9</v>
      </c>
    </row>
    <row r="386" spans="1:7" ht="30" customHeight="1">
      <c r="A386" s="170">
        <v>337</v>
      </c>
      <c r="B386" s="170" t="s">
        <v>597</v>
      </c>
      <c r="C386" s="307">
        <f t="shared" si="5"/>
        <v>6.8250000000000002</v>
      </c>
      <c r="G386" s="307">
        <f>G142</f>
        <v>7.5</v>
      </c>
    </row>
    <row r="387" spans="1:7" ht="30" customHeight="1">
      <c r="A387" s="310">
        <v>73293</v>
      </c>
      <c r="B387" s="310" t="s">
        <v>1010</v>
      </c>
      <c r="C387" s="307">
        <f t="shared" si="5"/>
        <v>301.94710000000003</v>
      </c>
      <c r="G387" s="616">
        <v>331.81</v>
      </c>
    </row>
    <row r="388" spans="1:7" ht="30" customHeight="1">
      <c r="A388" s="310">
        <v>73404</v>
      </c>
      <c r="B388" s="310" t="s">
        <v>1011</v>
      </c>
      <c r="C388" s="307">
        <f t="shared" si="5"/>
        <v>28.1645</v>
      </c>
      <c r="G388" s="616">
        <v>30.95</v>
      </c>
    </row>
    <row r="389" spans="1:7" ht="30" customHeight="1">
      <c r="A389" s="170">
        <v>73418</v>
      </c>
      <c r="B389" s="170" t="s">
        <v>1012</v>
      </c>
      <c r="C389" s="307">
        <f t="shared" si="5"/>
        <v>51.060099999999998</v>
      </c>
      <c r="G389" s="616">
        <v>56.11</v>
      </c>
    </row>
    <row r="390" spans="1:7" ht="30" customHeight="1">
      <c r="A390" s="170">
        <v>73397</v>
      </c>
      <c r="B390" s="170" t="s">
        <v>1013</v>
      </c>
      <c r="C390" s="307">
        <f t="shared" si="5"/>
        <v>21.057400000000001</v>
      </c>
      <c r="G390" s="311">
        <v>23.14</v>
      </c>
    </row>
    <row r="391" spans="1:7" ht="30" customHeight="1">
      <c r="A391" s="310">
        <v>73297</v>
      </c>
      <c r="B391" s="310" t="s">
        <v>1014</v>
      </c>
      <c r="C391" s="307">
        <f t="shared" si="5"/>
        <v>301.94710000000003</v>
      </c>
      <c r="G391" s="616">
        <v>331.81</v>
      </c>
    </row>
    <row r="392" spans="1:7" ht="30" customHeight="1">
      <c r="A392" s="170">
        <v>14112</v>
      </c>
      <c r="B392" s="170" t="s">
        <v>1015</v>
      </c>
      <c r="C392" s="307">
        <f t="shared" si="5"/>
        <v>201.5104</v>
      </c>
      <c r="G392" s="307">
        <v>221.44</v>
      </c>
    </row>
    <row r="393" spans="1:7" ht="30" customHeight="1">
      <c r="A393" s="170">
        <v>6111</v>
      </c>
      <c r="B393" s="170" t="s">
        <v>535</v>
      </c>
      <c r="C393" s="307">
        <f t="shared" si="5"/>
        <v>6.4064000000000005</v>
      </c>
      <c r="G393" s="307">
        <f>G377</f>
        <v>7.04</v>
      </c>
    </row>
    <row r="394" spans="1:7" ht="30" customHeight="1">
      <c r="A394" s="170">
        <v>4750</v>
      </c>
      <c r="B394" s="170" t="s">
        <v>576</v>
      </c>
      <c r="C394" s="307">
        <f t="shared" ref="C394:C457" si="6">G394*0.91</f>
        <v>8.6722999999999999</v>
      </c>
      <c r="G394" s="307">
        <f>G228</f>
        <v>9.5299999999999994</v>
      </c>
    </row>
    <row r="395" spans="1:7" ht="30" customHeight="1">
      <c r="A395" s="170">
        <v>378</v>
      </c>
      <c r="B395" s="170" t="s">
        <v>615</v>
      </c>
      <c r="C395" s="307">
        <f t="shared" si="6"/>
        <v>8.6722999999999999</v>
      </c>
      <c r="G395" s="307">
        <f>G140</f>
        <v>9.5299999999999994</v>
      </c>
    </row>
    <row r="396" spans="1:7" ht="30" customHeight="1">
      <c r="A396" s="310"/>
      <c r="B396" s="310" t="s">
        <v>1064</v>
      </c>
      <c r="C396" s="307">
        <f t="shared" si="6"/>
        <v>10666.5741</v>
      </c>
      <c r="G396" s="616">
        <v>11721.51</v>
      </c>
    </row>
    <row r="397" spans="1:7" ht="30" customHeight="1">
      <c r="A397" s="310"/>
      <c r="B397" s="310" t="s">
        <v>1065</v>
      </c>
      <c r="C397" s="307">
        <f t="shared" si="6"/>
        <v>4550</v>
      </c>
      <c r="G397" s="616">
        <v>5000</v>
      </c>
    </row>
    <row r="398" spans="1:7" ht="30" customHeight="1">
      <c r="A398" s="170">
        <v>11256</v>
      </c>
      <c r="B398" s="170" t="s">
        <v>1017</v>
      </c>
      <c r="C398" s="307">
        <f t="shared" si="6"/>
        <v>347.41070000000002</v>
      </c>
      <c r="G398" s="307">
        <v>381.77</v>
      </c>
    </row>
    <row r="399" spans="1:7" ht="30" customHeight="1">
      <c r="A399" s="170">
        <v>6113</v>
      </c>
      <c r="B399" s="170" t="s">
        <v>514</v>
      </c>
      <c r="C399" s="307">
        <f t="shared" si="6"/>
        <v>6.4064000000000005</v>
      </c>
      <c r="G399" s="307">
        <f>G383</f>
        <v>7.04</v>
      </c>
    </row>
    <row r="400" spans="1:7" ht="30" customHeight="1">
      <c r="A400" s="170">
        <v>2436</v>
      </c>
      <c r="B400" s="170" t="s">
        <v>513</v>
      </c>
      <c r="C400" s="307">
        <f t="shared" si="6"/>
        <v>12.2759</v>
      </c>
      <c r="G400" s="307">
        <f>G384</f>
        <v>13.49</v>
      </c>
    </row>
    <row r="401" spans="1:7" ht="30" customHeight="1">
      <c r="A401" s="310"/>
      <c r="B401" s="310" t="s">
        <v>475</v>
      </c>
      <c r="C401" s="307">
        <f t="shared" si="6"/>
        <v>31.85</v>
      </c>
      <c r="G401" s="616">
        <v>35</v>
      </c>
    </row>
    <row r="402" spans="1:7" ht="30" customHeight="1">
      <c r="A402" s="310"/>
      <c r="B402" s="310" t="s">
        <v>1019</v>
      </c>
      <c r="C402" s="307">
        <f t="shared" si="6"/>
        <v>0.83720000000000006</v>
      </c>
      <c r="G402" s="616">
        <v>0.92</v>
      </c>
    </row>
    <row r="403" spans="1:7" ht="30" customHeight="1">
      <c r="A403" s="170">
        <v>2436</v>
      </c>
      <c r="B403" s="170" t="s">
        <v>513</v>
      </c>
      <c r="C403" s="307">
        <f t="shared" si="6"/>
        <v>12.2759</v>
      </c>
      <c r="G403" s="307">
        <f>G400</f>
        <v>13.49</v>
      </c>
    </row>
    <row r="404" spans="1:7" ht="30" customHeight="1">
      <c r="A404" s="170">
        <v>2688</v>
      </c>
      <c r="B404" s="170" t="s">
        <v>977</v>
      </c>
      <c r="C404" s="307">
        <f t="shared" si="6"/>
        <v>1.5743</v>
      </c>
      <c r="G404" s="307">
        <v>1.73</v>
      </c>
    </row>
    <row r="405" spans="1:7" ht="30" customHeight="1">
      <c r="A405" s="170">
        <v>2436</v>
      </c>
      <c r="B405" s="170" t="s">
        <v>513</v>
      </c>
      <c r="C405" s="307">
        <f t="shared" si="6"/>
        <v>12.2759</v>
      </c>
      <c r="G405" s="307">
        <f>G400</f>
        <v>13.49</v>
      </c>
    </row>
    <row r="406" spans="1:7" ht="30" customHeight="1">
      <c r="A406" s="170">
        <v>6113</v>
      </c>
      <c r="B406" s="170" t="s">
        <v>514</v>
      </c>
      <c r="C406" s="307">
        <f t="shared" si="6"/>
        <v>6.4064000000000005</v>
      </c>
      <c r="G406" s="307">
        <f>G366</f>
        <v>7.04</v>
      </c>
    </row>
    <row r="407" spans="1:7" ht="30" customHeight="1">
      <c r="A407" s="170">
        <v>3380</v>
      </c>
      <c r="B407" s="170" t="s">
        <v>979</v>
      </c>
      <c r="C407" s="307">
        <f t="shared" si="6"/>
        <v>23.068500000000004</v>
      </c>
      <c r="G407" s="307">
        <v>25.35</v>
      </c>
    </row>
    <row r="408" spans="1:7" ht="30" customHeight="1">
      <c r="A408" s="170">
        <v>2436</v>
      </c>
      <c r="B408" s="170" t="s">
        <v>513</v>
      </c>
      <c r="C408" s="307">
        <f t="shared" si="6"/>
        <v>12.2759</v>
      </c>
      <c r="G408" s="307">
        <f>G405</f>
        <v>13.49</v>
      </c>
    </row>
    <row r="409" spans="1:7" ht="30" customHeight="1">
      <c r="A409" s="170">
        <v>6113</v>
      </c>
      <c r="B409" s="170" t="s">
        <v>514</v>
      </c>
      <c r="C409" s="307">
        <f t="shared" si="6"/>
        <v>6.4064000000000005</v>
      </c>
      <c r="G409" s="307">
        <f>G406</f>
        <v>7.04</v>
      </c>
    </row>
    <row r="410" spans="1:7" ht="30" customHeight="1">
      <c r="A410" s="310"/>
      <c r="B410" s="310" t="s">
        <v>1020</v>
      </c>
      <c r="C410" s="307">
        <f t="shared" si="6"/>
        <v>8.6449999999999996</v>
      </c>
      <c r="G410" s="616">
        <v>9.5</v>
      </c>
    </row>
    <row r="411" spans="1:7" ht="30" customHeight="1">
      <c r="A411" s="170">
        <v>2436</v>
      </c>
      <c r="B411" s="170" t="s">
        <v>513</v>
      </c>
      <c r="C411" s="307">
        <f t="shared" si="6"/>
        <v>12.2759</v>
      </c>
      <c r="G411" s="307">
        <f>G408</f>
        <v>13.49</v>
      </c>
    </row>
    <row r="412" spans="1:7" ht="30" customHeight="1">
      <c r="A412" s="170">
        <v>6113</v>
      </c>
      <c r="B412" s="170" t="s">
        <v>514</v>
      </c>
      <c r="C412" s="307">
        <f t="shared" si="6"/>
        <v>6.4064000000000005</v>
      </c>
      <c r="G412" s="307">
        <f>G409</f>
        <v>7.04</v>
      </c>
    </row>
    <row r="413" spans="1:7" ht="30" customHeight="1">
      <c r="A413" s="310"/>
      <c r="B413" s="310" t="s">
        <v>1021</v>
      </c>
      <c r="C413" s="307">
        <f t="shared" si="6"/>
        <v>106.80670000000001</v>
      </c>
      <c r="G413" s="616">
        <v>117.37</v>
      </c>
    </row>
    <row r="414" spans="1:7" ht="30" customHeight="1">
      <c r="A414" s="170">
        <v>2436</v>
      </c>
      <c r="B414" s="170" t="s">
        <v>513</v>
      </c>
      <c r="C414" s="307">
        <f t="shared" si="6"/>
        <v>12.2759</v>
      </c>
      <c r="G414" s="307">
        <f>G411</f>
        <v>13.49</v>
      </c>
    </row>
    <row r="415" spans="1:7" ht="30" customHeight="1">
      <c r="A415" s="310"/>
      <c r="B415" s="310" t="s">
        <v>1066</v>
      </c>
      <c r="C415" s="307">
        <f t="shared" si="6"/>
        <v>307.9076</v>
      </c>
      <c r="G415" s="616">
        <v>338.36</v>
      </c>
    </row>
    <row r="416" spans="1:7" ht="30" customHeight="1">
      <c r="A416" s="310"/>
      <c r="B416" s="310" t="s">
        <v>1022</v>
      </c>
      <c r="C416" s="307">
        <f t="shared" si="6"/>
        <v>306.81560000000002</v>
      </c>
      <c r="G416" s="616">
        <v>337.16</v>
      </c>
    </row>
    <row r="417" spans="1:7" ht="30" customHeight="1">
      <c r="A417" s="170">
        <v>2439</v>
      </c>
      <c r="B417" s="170" t="s">
        <v>1023</v>
      </c>
      <c r="C417" s="307">
        <f t="shared" si="6"/>
        <v>15.815799999999999</v>
      </c>
      <c r="G417" s="307">
        <v>17.38</v>
      </c>
    </row>
    <row r="418" spans="1:7" ht="30" customHeight="1">
      <c r="A418" s="170">
        <v>242</v>
      </c>
      <c r="B418" s="170" t="s">
        <v>512</v>
      </c>
      <c r="C418" s="307">
        <f t="shared" si="6"/>
        <v>6.9888000000000003</v>
      </c>
      <c r="G418" s="307">
        <v>7.68</v>
      </c>
    </row>
    <row r="419" spans="1:7" ht="30" customHeight="1">
      <c r="A419" s="310"/>
      <c r="B419" s="310" t="s">
        <v>1024</v>
      </c>
      <c r="C419" s="307">
        <f t="shared" si="6"/>
        <v>24.997699999999998</v>
      </c>
      <c r="G419" s="616">
        <v>27.47</v>
      </c>
    </row>
    <row r="420" spans="1:7" ht="30" customHeight="1">
      <c r="A420" s="170">
        <v>2436</v>
      </c>
      <c r="B420" s="170" t="s">
        <v>513</v>
      </c>
      <c r="C420" s="307">
        <f t="shared" si="6"/>
        <v>12.2759</v>
      </c>
      <c r="G420" s="307">
        <f>G408</f>
        <v>13.49</v>
      </c>
    </row>
    <row r="421" spans="1:7" ht="30" customHeight="1">
      <c r="A421" s="170">
        <v>6113</v>
      </c>
      <c r="B421" s="170" t="s">
        <v>514</v>
      </c>
      <c r="C421" s="307">
        <f t="shared" si="6"/>
        <v>6.4064000000000005</v>
      </c>
      <c r="G421" s="307">
        <f>G412</f>
        <v>7.04</v>
      </c>
    </row>
    <row r="422" spans="1:7" ht="30" customHeight="1">
      <c r="A422" s="170">
        <v>1380</v>
      </c>
      <c r="B422" s="170" t="s">
        <v>638</v>
      </c>
      <c r="C422" s="307">
        <f t="shared" si="6"/>
        <v>3.64</v>
      </c>
      <c r="G422" s="307">
        <f>G168</f>
        <v>4</v>
      </c>
    </row>
    <row r="423" spans="1:7" ht="30" customHeight="1">
      <c r="A423" s="170">
        <v>6092</v>
      </c>
      <c r="B423" s="170" t="s">
        <v>700</v>
      </c>
      <c r="C423" s="307">
        <f t="shared" si="6"/>
        <v>14.887600000000001</v>
      </c>
      <c r="G423" s="307">
        <v>16.36</v>
      </c>
    </row>
    <row r="424" spans="1:7" ht="30" customHeight="1">
      <c r="A424" s="170">
        <v>10422</v>
      </c>
      <c r="B424" s="170" t="s">
        <v>1346</v>
      </c>
      <c r="C424" s="307">
        <f t="shared" si="6"/>
        <v>192.1283</v>
      </c>
      <c r="G424" s="307">
        <v>211.13</v>
      </c>
    </row>
    <row r="425" spans="1:7" ht="30" customHeight="1">
      <c r="A425" s="170">
        <v>4384</v>
      </c>
      <c r="B425" s="170" t="s">
        <v>1347</v>
      </c>
      <c r="C425" s="307">
        <f t="shared" si="6"/>
        <v>8.3993000000000002</v>
      </c>
      <c r="G425" s="307">
        <v>9.23</v>
      </c>
    </row>
    <row r="426" spans="1:7" ht="30" customHeight="1">
      <c r="A426" s="170">
        <v>6130</v>
      </c>
      <c r="B426" s="170" t="s">
        <v>701</v>
      </c>
      <c r="C426" s="307">
        <f t="shared" si="6"/>
        <v>7.0798000000000005</v>
      </c>
      <c r="G426" s="307">
        <v>7.78</v>
      </c>
    </row>
    <row r="427" spans="1:7" ht="30" customHeight="1">
      <c r="A427" s="170">
        <v>2696</v>
      </c>
      <c r="B427" s="170" t="s">
        <v>517</v>
      </c>
      <c r="C427" s="307">
        <f t="shared" si="6"/>
        <v>8.6722999999999999</v>
      </c>
      <c r="G427" s="307">
        <v>9.5299999999999994</v>
      </c>
    </row>
    <row r="428" spans="1:7" ht="30" customHeight="1">
      <c r="A428" s="170">
        <v>377</v>
      </c>
      <c r="B428" s="170" t="s">
        <v>1349</v>
      </c>
      <c r="C428" s="307">
        <f t="shared" si="6"/>
        <v>15.333500000000003</v>
      </c>
      <c r="G428" s="307">
        <v>16.850000000000001</v>
      </c>
    </row>
    <row r="429" spans="1:7" ht="30" customHeight="1">
      <c r="A429" s="170">
        <v>6111</v>
      </c>
      <c r="B429" s="170" t="s">
        <v>535</v>
      </c>
      <c r="C429" s="307">
        <f t="shared" si="6"/>
        <v>6.4064000000000005</v>
      </c>
      <c r="G429" s="307">
        <f>G372</f>
        <v>7.04</v>
      </c>
    </row>
    <row r="430" spans="1:7" ht="30" customHeight="1">
      <c r="A430" s="170">
        <v>6141</v>
      </c>
      <c r="B430" s="170" t="s">
        <v>562</v>
      </c>
      <c r="C430" s="307">
        <f t="shared" si="6"/>
        <v>2.0202000000000004</v>
      </c>
      <c r="G430" s="307">
        <v>2.2200000000000002</v>
      </c>
    </row>
    <row r="431" spans="1:7" ht="30" customHeight="1">
      <c r="A431" s="170">
        <v>3143</v>
      </c>
      <c r="B431" s="170" t="s">
        <v>713</v>
      </c>
      <c r="C431" s="307">
        <f t="shared" si="6"/>
        <v>3.1395000000000004</v>
      </c>
      <c r="G431" s="307">
        <v>3.45</v>
      </c>
    </row>
    <row r="432" spans="1:7" ht="30" customHeight="1">
      <c r="A432" s="170">
        <v>246</v>
      </c>
      <c r="B432" s="170" t="s">
        <v>704</v>
      </c>
      <c r="C432" s="307">
        <f t="shared" si="6"/>
        <v>6.4792000000000005</v>
      </c>
      <c r="G432" s="307">
        <v>7.12</v>
      </c>
    </row>
    <row r="433" spans="1:7" ht="30" customHeight="1">
      <c r="A433" s="170">
        <v>2696</v>
      </c>
      <c r="B433" s="170" t="s">
        <v>517</v>
      </c>
      <c r="C433" s="307">
        <f t="shared" si="6"/>
        <v>8.6722999999999999</v>
      </c>
      <c r="G433" s="307">
        <f>G427</f>
        <v>9.5299999999999994</v>
      </c>
    </row>
    <row r="434" spans="1:7" ht="30" customHeight="1">
      <c r="A434" s="170">
        <v>11703</v>
      </c>
      <c r="B434" s="170" t="s">
        <v>706</v>
      </c>
      <c r="C434" s="307">
        <f t="shared" si="6"/>
        <v>21.557900000000004</v>
      </c>
      <c r="G434" s="307">
        <v>23.69</v>
      </c>
    </row>
    <row r="435" spans="1:7" ht="30" customHeight="1">
      <c r="A435" s="170">
        <v>4750</v>
      </c>
      <c r="B435" s="170" t="s">
        <v>576</v>
      </c>
      <c r="C435" s="307">
        <f t="shared" si="6"/>
        <v>8.6722999999999999</v>
      </c>
      <c r="G435" s="307">
        <f>G394</f>
        <v>9.5299999999999994</v>
      </c>
    </row>
    <row r="436" spans="1:7" ht="30" customHeight="1">
      <c r="A436" s="170">
        <v>6111</v>
      </c>
      <c r="B436" s="170" t="s">
        <v>535</v>
      </c>
      <c r="C436" s="307">
        <f t="shared" si="6"/>
        <v>6.4064000000000005</v>
      </c>
      <c r="G436" s="307">
        <f>G429</f>
        <v>7.04</v>
      </c>
    </row>
    <row r="437" spans="1:7" ht="30" customHeight="1">
      <c r="A437" s="170">
        <v>6141</v>
      </c>
      <c r="B437" s="170" t="s">
        <v>562</v>
      </c>
      <c r="C437" s="307">
        <f t="shared" si="6"/>
        <v>2.0202000000000004</v>
      </c>
      <c r="G437" s="307">
        <v>2.2200000000000002</v>
      </c>
    </row>
    <row r="438" spans="1:7" ht="30" customHeight="1">
      <c r="A438" s="170">
        <v>6157</v>
      </c>
      <c r="B438" s="170" t="s">
        <v>707</v>
      </c>
      <c r="C438" s="307">
        <f t="shared" si="6"/>
        <v>34.1068</v>
      </c>
      <c r="G438" s="307">
        <v>37.479999999999997</v>
      </c>
    </row>
    <row r="439" spans="1:7" ht="30" customHeight="1">
      <c r="A439" s="170">
        <v>11760</v>
      </c>
      <c r="B439" s="170" t="s">
        <v>708</v>
      </c>
      <c r="C439" s="307">
        <f t="shared" si="6"/>
        <v>99.908900000000003</v>
      </c>
      <c r="G439" s="307">
        <v>109.79</v>
      </c>
    </row>
    <row r="440" spans="1:7" ht="30" customHeight="1">
      <c r="A440" s="170">
        <v>20270</v>
      </c>
      <c r="B440" s="170" t="s">
        <v>709</v>
      </c>
      <c r="C440" s="307">
        <f t="shared" si="6"/>
        <v>45.863999999999997</v>
      </c>
      <c r="G440" s="307">
        <v>50.4</v>
      </c>
    </row>
    <row r="441" spans="1:7" ht="30" customHeight="1">
      <c r="A441" s="170">
        <v>13984</v>
      </c>
      <c r="B441" s="170" t="s">
        <v>1109</v>
      </c>
      <c r="C441" s="307">
        <f t="shared" si="6"/>
        <v>44.408000000000001</v>
      </c>
      <c r="G441" s="307">
        <v>48.8</v>
      </c>
    </row>
    <row r="442" spans="1:7" ht="30" customHeight="1">
      <c r="A442" s="170">
        <v>11683</v>
      </c>
      <c r="B442" s="170" t="s">
        <v>711</v>
      </c>
      <c r="C442" s="307">
        <f t="shared" si="6"/>
        <v>19.392099999999999</v>
      </c>
      <c r="G442" s="307">
        <v>21.31</v>
      </c>
    </row>
    <row r="443" spans="1:7" ht="30" customHeight="1">
      <c r="A443" s="170">
        <v>10428</v>
      </c>
      <c r="B443" s="170" t="s">
        <v>1112</v>
      </c>
      <c r="C443" s="307">
        <f t="shared" si="6"/>
        <v>45.554600000000001</v>
      </c>
      <c r="G443" s="307">
        <v>50.06</v>
      </c>
    </row>
    <row r="444" spans="1:7" ht="30" customHeight="1">
      <c r="A444" s="170">
        <v>246</v>
      </c>
      <c r="B444" s="170" t="s">
        <v>704</v>
      </c>
      <c r="C444" s="307">
        <f t="shared" si="6"/>
        <v>6.4792000000000005</v>
      </c>
      <c r="G444" s="307">
        <f>G432</f>
        <v>7.12</v>
      </c>
    </row>
    <row r="445" spans="1:7" ht="30" customHeight="1">
      <c r="A445" s="170">
        <v>2696</v>
      </c>
      <c r="B445" s="170" t="s">
        <v>517</v>
      </c>
      <c r="C445" s="307">
        <f t="shared" si="6"/>
        <v>8.6722999999999999</v>
      </c>
      <c r="G445" s="307">
        <f>G433</f>
        <v>9.5299999999999994</v>
      </c>
    </row>
    <row r="446" spans="1:7" ht="30" customHeight="1">
      <c r="A446" s="170">
        <v>11683</v>
      </c>
      <c r="B446" s="170" t="s">
        <v>711</v>
      </c>
      <c r="C446" s="307">
        <f t="shared" si="6"/>
        <v>19.392099999999999</v>
      </c>
      <c r="G446" s="307">
        <f>G442</f>
        <v>21.31</v>
      </c>
    </row>
    <row r="447" spans="1:7" ht="30" customHeight="1">
      <c r="A447" s="170">
        <v>3143</v>
      </c>
      <c r="B447" s="170" t="s">
        <v>713</v>
      </c>
      <c r="C447" s="307">
        <f t="shared" si="6"/>
        <v>3.1395000000000004</v>
      </c>
      <c r="G447" s="307">
        <v>3.45</v>
      </c>
    </row>
    <row r="448" spans="1:7" ht="30" customHeight="1">
      <c r="A448" s="170">
        <v>246</v>
      </c>
      <c r="B448" s="170" t="s">
        <v>704</v>
      </c>
      <c r="C448" s="307">
        <f t="shared" si="6"/>
        <v>6.4792000000000005</v>
      </c>
      <c r="G448" s="307">
        <f>G444</f>
        <v>7.12</v>
      </c>
    </row>
    <row r="449" spans="1:7" ht="30" customHeight="1">
      <c r="A449" s="170">
        <v>2696</v>
      </c>
      <c r="B449" s="170" t="s">
        <v>517</v>
      </c>
      <c r="C449" s="307">
        <f t="shared" si="6"/>
        <v>8.6722999999999999</v>
      </c>
      <c r="G449" s="307">
        <f>G445</f>
        <v>9.5299999999999994</v>
      </c>
    </row>
    <row r="450" spans="1:7" ht="30" customHeight="1">
      <c r="A450" s="170">
        <v>6137</v>
      </c>
      <c r="B450" s="170" t="s">
        <v>715</v>
      </c>
      <c r="C450" s="307">
        <f t="shared" si="6"/>
        <v>78.94250000000001</v>
      </c>
      <c r="G450" s="307">
        <v>86.75</v>
      </c>
    </row>
    <row r="451" spans="1:7" ht="30" customHeight="1">
      <c r="A451" s="170">
        <v>3146</v>
      </c>
      <c r="B451" s="170" t="s">
        <v>716</v>
      </c>
      <c r="C451" s="307">
        <f t="shared" si="6"/>
        <v>1.365</v>
      </c>
      <c r="G451" s="307">
        <v>1.5</v>
      </c>
    </row>
    <row r="452" spans="1:7" ht="30" customHeight="1">
      <c r="A452" s="170">
        <v>6116</v>
      </c>
      <c r="B452" s="170" t="s">
        <v>516</v>
      </c>
      <c r="C452" s="307">
        <f t="shared" si="6"/>
        <v>7.0798000000000005</v>
      </c>
      <c r="G452" s="307">
        <v>7.78</v>
      </c>
    </row>
    <row r="453" spans="1:7" ht="30" customHeight="1">
      <c r="A453" s="170">
        <v>2696</v>
      </c>
      <c r="B453" s="170" t="s">
        <v>517</v>
      </c>
      <c r="C453" s="307">
        <f t="shared" si="6"/>
        <v>8.6722999999999999</v>
      </c>
      <c r="G453" s="307">
        <f>G449</f>
        <v>9.5299999999999994</v>
      </c>
    </row>
    <row r="454" spans="1:7" ht="30" customHeight="1">
      <c r="A454" s="170">
        <v>6154</v>
      </c>
      <c r="B454" s="170" t="s">
        <v>720</v>
      </c>
      <c r="C454" s="307">
        <f t="shared" si="6"/>
        <v>4.5955000000000004</v>
      </c>
      <c r="G454" s="307">
        <v>5.05</v>
      </c>
    </row>
    <row r="455" spans="1:7" ht="30" customHeight="1">
      <c r="A455" s="170">
        <v>3146</v>
      </c>
      <c r="B455" s="170" t="s">
        <v>716</v>
      </c>
      <c r="C455" s="307">
        <f t="shared" si="6"/>
        <v>1.365</v>
      </c>
      <c r="G455" s="307">
        <f>G451</f>
        <v>1.5</v>
      </c>
    </row>
    <row r="456" spans="1:7" ht="30" customHeight="1">
      <c r="A456" s="170">
        <v>6116</v>
      </c>
      <c r="B456" s="170" t="s">
        <v>516</v>
      </c>
      <c r="C456" s="307">
        <f t="shared" si="6"/>
        <v>7.0798000000000005</v>
      </c>
      <c r="G456" s="307">
        <f>G452</f>
        <v>7.78</v>
      </c>
    </row>
    <row r="457" spans="1:7" ht="30" customHeight="1">
      <c r="A457" s="170">
        <v>2696</v>
      </c>
      <c r="B457" s="170" t="s">
        <v>517</v>
      </c>
      <c r="C457" s="307">
        <f t="shared" si="6"/>
        <v>8.6722999999999999</v>
      </c>
      <c r="G457" s="307">
        <f>G453</f>
        <v>9.5299999999999994</v>
      </c>
    </row>
    <row r="458" spans="1:7" ht="30" customHeight="1">
      <c r="A458" s="170">
        <v>21102</v>
      </c>
      <c r="B458" s="170" t="s">
        <v>721</v>
      </c>
      <c r="C458" s="307">
        <f t="shared" ref="C458:C521" si="7">G458*0.91</f>
        <v>29.392999999999997</v>
      </c>
      <c r="G458" s="307">
        <v>32.299999999999997</v>
      </c>
    </row>
    <row r="459" spans="1:7" ht="30" customHeight="1">
      <c r="A459" s="170">
        <v>2696</v>
      </c>
      <c r="B459" s="170" t="s">
        <v>517</v>
      </c>
      <c r="C459" s="307">
        <f t="shared" si="7"/>
        <v>8.6722999999999999</v>
      </c>
      <c r="G459" s="307">
        <f>G457</f>
        <v>9.5299999999999994</v>
      </c>
    </row>
    <row r="460" spans="1:7" ht="30" customHeight="1">
      <c r="A460" s="170">
        <v>246</v>
      </c>
      <c r="B460" s="170" t="s">
        <v>704</v>
      </c>
      <c r="C460" s="307">
        <f t="shared" si="7"/>
        <v>6.4792000000000005</v>
      </c>
      <c r="G460" s="307">
        <f>G448</f>
        <v>7.12</v>
      </c>
    </row>
    <row r="461" spans="1:7" ht="30" customHeight="1">
      <c r="A461" s="170">
        <v>11758</v>
      </c>
      <c r="B461" s="170" t="s">
        <v>723</v>
      </c>
      <c r="C461" s="307">
        <f t="shared" si="7"/>
        <v>14.4053</v>
      </c>
      <c r="G461" s="307">
        <v>15.83</v>
      </c>
    </row>
    <row r="462" spans="1:7" ht="30" customHeight="1">
      <c r="A462" s="170">
        <v>6111</v>
      </c>
      <c r="B462" s="170" t="s">
        <v>535</v>
      </c>
      <c r="C462" s="307">
        <f t="shared" si="7"/>
        <v>6.4064000000000005</v>
      </c>
      <c r="G462" s="307">
        <f>G356</f>
        <v>7.04</v>
      </c>
    </row>
    <row r="463" spans="1:7" ht="30" customHeight="1">
      <c r="A463" s="170">
        <v>4270</v>
      </c>
      <c r="B463" s="170" t="s">
        <v>725</v>
      </c>
      <c r="C463" s="307">
        <f t="shared" si="7"/>
        <v>6.9159999999999995</v>
      </c>
      <c r="G463" s="307">
        <v>7.6</v>
      </c>
    </row>
    <row r="464" spans="1:7" ht="30" customHeight="1">
      <c r="A464" s="170">
        <v>1380</v>
      </c>
      <c r="B464" s="170" t="s">
        <v>638</v>
      </c>
      <c r="C464" s="307">
        <f t="shared" si="7"/>
        <v>3.64</v>
      </c>
      <c r="G464" s="307">
        <f>G422</f>
        <v>4</v>
      </c>
    </row>
    <row r="465" spans="1:7" ht="30" customHeight="1">
      <c r="A465" s="170">
        <v>1379</v>
      </c>
      <c r="B465" s="170" t="s">
        <v>549</v>
      </c>
      <c r="C465" s="307">
        <f t="shared" si="7"/>
        <v>0.50050000000000006</v>
      </c>
      <c r="G465" s="307">
        <f>G160</f>
        <v>0.55000000000000004</v>
      </c>
    </row>
    <row r="466" spans="1:7" ht="30" customHeight="1">
      <c r="A466" s="170">
        <v>367</v>
      </c>
      <c r="B466" s="170" t="s">
        <v>544</v>
      </c>
      <c r="C466" s="307">
        <f t="shared" si="7"/>
        <v>40.950000000000003</v>
      </c>
      <c r="G466" s="307">
        <f>G166</f>
        <v>45</v>
      </c>
    </row>
    <row r="467" spans="1:7" ht="30" customHeight="1">
      <c r="A467" s="170">
        <v>6115</v>
      </c>
      <c r="B467" s="170" t="s">
        <v>509</v>
      </c>
      <c r="C467" s="307">
        <f t="shared" si="7"/>
        <v>6.4064000000000005</v>
      </c>
      <c r="G467" s="307">
        <v>7.04</v>
      </c>
    </row>
    <row r="468" spans="1:7" ht="30" customHeight="1">
      <c r="A468" s="170">
        <v>4760</v>
      </c>
      <c r="B468" s="170" t="s">
        <v>515</v>
      </c>
      <c r="C468" s="307">
        <f t="shared" si="7"/>
        <v>7.8806000000000003</v>
      </c>
      <c r="G468" s="307">
        <v>8.66</v>
      </c>
    </row>
    <row r="469" spans="1:7" ht="30" customHeight="1">
      <c r="A469" s="170">
        <v>370</v>
      </c>
      <c r="B469" s="170" t="s">
        <v>618</v>
      </c>
      <c r="C469" s="307">
        <f t="shared" si="7"/>
        <v>31.85</v>
      </c>
      <c r="G469" s="307">
        <f>G146</f>
        <v>35</v>
      </c>
    </row>
    <row r="470" spans="1:7" ht="30" customHeight="1">
      <c r="A470" s="170">
        <v>4721</v>
      </c>
      <c r="B470" s="170" t="s">
        <v>558</v>
      </c>
      <c r="C470" s="307">
        <f t="shared" si="7"/>
        <v>81.900000000000006</v>
      </c>
      <c r="G470" s="307">
        <f>G31</f>
        <v>90</v>
      </c>
    </row>
    <row r="471" spans="1:7" ht="30" customHeight="1">
      <c r="A471" s="170">
        <v>7568</v>
      </c>
      <c r="B471" s="170" t="s">
        <v>727</v>
      </c>
      <c r="C471" s="307">
        <f t="shared" si="7"/>
        <v>0.42769999999999997</v>
      </c>
      <c r="G471" s="307">
        <v>0.47</v>
      </c>
    </row>
    <row r="472" spans="1:7" ht="30" customHeight="1">
      <c r="A472" s="170">
        <v>201379</v>
      </c>
      <c r="B472" s="170" t="s">
        <v>549</v>
      </c>
      <c r="C472" s="307">
        <f t="shared" si="7"/>
        <v>0.50050000000000006</v>
      </c>
      <c r="G472" s="307">
        <f>G465</f>
        <v>0.55000000000000004</v>
      </c>
    </row>
    <row r="473" spans="1:7" ht="30" customHeight="1">
      <c r="A473" s="170">
        <v>1330</v>
      </c>
      <c r="B473" s="170" t="s">
        <v>728</v>
      </c>
      <c r="C473" s="307">
        <f t="shared" si="7"/>
        <v>2.6481000000000003</v>
      </c>
      <c r="G473" s="307">
        <v>2.91</v>
      </c>
    </row>
    <row r="474" spans="1:7" ht="30" customHeight="1">
      <c r="A474" s="170">
        <v>20987</v>
      </c>
      <c r="B474" s="170" t="s">
        <v>1414</v>
      </c>
      <c r="C474" s="307">
        <f t="shared" si="7"/>
        <v>11.5115</v>
      </c>
      <c r="G474" s="307">
        <v>12.65</v>
      </c>
    </row>
    <row r="475" spans="1:7" ht="30" customHeight="1">
      <c r="A475" s="170">
        <v>6110</v>
      </c>
      <c r="B475" s="170" t="s">
        <v>631</v>
      </c>
      <c r="C475" s="307">
        <f t="shared" si="7"/>
        <v>8.19</v>
      </c>
      <c r="G475" s="307">
        <f>G195</f>
        <v>9</v>
      </c>
    </row>
    <row r="476" spans="1:7" ht="30" customHeight="1">
      <c r="A476" s="170">
        <v>4750</v>
      </c>
      <c r="B476" s="170" t="s">
        <v>576</v>
      </c>
      <c r="C476" s="307">
        <f t="shared" si="7"/>
        <v>8.6722999999999999</v>
      </c>
      <c r="G476" s="307">
        <f>G435</f>
        <v>9.5299999999999994</v>
      </c>
    </row>
    <row r="477" spans="1:7" ht="30" customHeight="1">
      <c r="A477" s="170">
        <v>6111</v>
      </c>
      <c r="B477" s="170" t="s">
        <v>535</v>
      </c>
      <c r="C477" s="307">
        <f t="shared" si="7"/>
        <v>6.4064000000000005</v>
      </c>
      <c r="G477" s="307">
        <f>G462</f>
        <v>7.04</v>
      </c>
    </row>
    <row r="478" spans="1:7" ht="30" customHeight="1">
      <c r="A478" s="245">
        <v>3143</v>
      </c>
      <c r="B478" s="245" t="s">
        <v>713</v>
      </c>
      <c r="C478" s="307">
        <f t="shared" si="7"/>
        <v>3.1395000000000004</v>
      </c>
      <c r="G478" s="307">
        <f>G447</f>
        <v>3.45</v>
      </c>
    </row>
    <row r="479" spans="1:7" ht="30" customHeight="1">
      <c r="A479" s="245"/>
      <c r="B479" s="313" t="s">
        <v>730</v>
      </c>
      <c r="C479" s="307">
        <f t="shared" si="7"/>
        <v>1619.8</v>
      </c>
      <c r="G479" s="616">
        <v>1780</v>
      </c>
    </row>
    <row r="480" spans="1:7" ht="30" customHeight="1">
      <c r="A480" s="245">
        <v>2696</v>
      </c>
      <c r="B480" s="245" t="s">
        <v>517</v>
      </c>
      <c r="C480" s="307">
        <f t="shared" si="7"/>
        <v>8.6722999999999999</v>
      </c>
      <c r="G480" s="307">
        <f>G459</f>
        <v>9.5299999999999994</v>
      </c>
    </row>
    <row r="481" spans="1:7" ht="30" customHeight="1">
      <c r="A481" s="245">
        <v>6116</v>
      </c>
      <c r="B481" s="245" t="s">
        <v>516</v>
      </c>
      <c r="C481" s="307">
        <f t="shared" si="7"/>
        <v>7.0798000000000005</v>
      </c>
      <c r="G481" s="307">
        <f>G452</f>
        <v>7.78</v>
      </c>
    </row>
    <row r="482" spans="1:7" ht="30" customHeight="1">
      <c r="A482" s="245">
        <v>3143</v>
      </c>
      <c r="B482" s="245" t="s">
        <v>713</v>
      </c>
      <c r="C482" s="307">
        <f t="shared" si="7"/>
        <v>3.1395000000000004</v>
      </c>
      <c r="G482" s="307">
        <f>G478</f>
        <v>3.45</v>
      </c>
    </row>
    <row r="483" spans="1:7" ht="30" customHeight="1">
      <c r="A483" s="245">
        <v>15410</v>
      </c>
      <c r="B483" s="245" t="s">
        <v>730</v>
      </c>
      <c r="C483" s="307">
        <f t="shared" si="7"/>
        <v>1619.8</v>
      </c>
      <c r="G483" s="616">
        <f>G479</f>
        <v>1780</v>
      </c>
    </row>
    <row r="484" spans="1:7" ht="30" customHeight="1">
      <c r="A484" s="245">
        <v>2696</v>
      </c>
      <c r="B484" s="245" t="s">
        <v>517</v>
      </c>
      <c r="C484" s="307">
        <f t="shared" si="7"/>
        <v>8.6722999999999999</v>
      </c>
      <c r="G484" s="307">
        <f>G480</f>
        <v>9.5299999999999994</v>
      </c>
    </row>
    <row r="485" spans="1:7" ht="30" customHeight="1">
      <c r="A485" s="245">
        <v>6116</v>
      </c>
      <c r="B485" s="245" t="s">
        <v>516</v>
      </c>
      <c r="C485" s="307">
        <f t="shared" si="7"/>
        <v>7.0798000000000005</v>
      </c>
      <c r="G485" s="307">
        <f>G481</f>
        <v>7.78</v>
      </c>
    </row>
    <row r="486" spans="1:7" ht="30" customHeight="1">
      <c r="A486" s="170">
        <v>10432</v>
      </c>
      <c r="B486" s="170" t="s">
        <v>732</v>
      </c>
      <c r="C486" s="307">
        <f t="shared" si="7"/>
        <v>113.1221</v>
      </c>
      <c r="G486" s="307">
        <v>124.31</v>
      </c>
    </row>
    <row r="487" spans="1:7" ht="30" customHeight="1">
      <c r="A487" s="170">
        <v>6021</v>
      </c>
      <c r="B487" s="170" t="s">
        <v>733</v>
      </c>
      <c r="C487" s="307">
        <f t="shared" si="7"/>
        <v>46.027799999999999</v>
      </c>
      <c r="G487" s="307">
        <v>50.58</v>
      </c>
    </row>
    <row r="488" spans="1:7" ht="30" customHeight="1">
      <c r="A488" s="170">
        <v>3146</v>
      </c>
      <c r="B488" s="170" t="s">
        <v>716</v>
      </c>
      <c r="C488" s="307">
        <f t="shared" si="7"/>
        <v>1.365</v>
      </c>
      <c r="G488" s="307">
        <v>1.5</v>
      </c>
    </row>
    <row r="489" spans="1:7" ht="30" customHeight="1">
      <c r="A489" s="170">
        <v>4351</v>
      </c>
      <c r="B489" s="170" t="s">
        <v>734</v>
      </c>
      <c r="C489" s="307">
        <f t="shared" si="7"/>
        <v>2.1021000000000001</v>
      </c>
      <c r="G489" s="307">
        <v>2.31</v>
      </c>
    </row>
    <row r="490" spans="1:7" ht="30" customHeight="1">
      <c r="A490" s="170">
        <v>6116</v>
      </c>
      <c r="B490" s="170" t="s">
        <v>735</v>
      </c>
      <c r="C490" s="307">
        <f t="shared" si="7"/>
        <v>7.0798000000000005</v>
      </c>
      <c r="G490" s="307">
        <f>G481</f>
        <v>7.78</v>
      </c>
    </row>
    <row r="491" spans="1:7" ht="30" customHeight="1">
      <c r="A491" s="170">
        <v>2696</v>
      </c>
      <c r="B491" s="170" t="s">
        <v>517</v>
      </c>
      <c r="C491" s="307">
        <f t="shared" si="7"/>
        <v>8.6722999999999999</v>
      </c>
      <c r="G491" s="307">
        <f>G484</f>
        <v>9.5299999999999994</v>
      </c>
    </row>
    <row r="492" spans="1:7" ht="30" customHeight="1">
      <c r="A492" s="170">
        <v>3143</v>
      </c>
      <c r="B492" s="170" t="s">
        <v>713</v>
      </c>
      <c r="C492" s="307">
        <f t="shared" si="7"/>
        <v>3.1395000000000004</v>
      </c>
      <c r="G492" s="307">
        <f>G482</f>
        <v>3.45</v>
      </c>
    </row>
    <row r="493" spans="1:7" ht="30" customHeight="1">
      <c r="A493" s="170">
        <v>21112</v>
      </c>
      <c r="B493" s="170" t="s">
        <v>737</v>
      </c>
      <c r="C493" s="307">
        <f t="shared" si="7"/>
        <v>106.6429</v>
      </c>
      <c r="G493" s="307">
        <v>117.19</v>
      </c>
    </row>
    <row r="494" spans="1:7" ht="30" customHeight="1">
      <c r="A494" s="170">
        <v>2696</v>
      </c>
      <c r="B494" s="170" t="s">
        <v>517</v>
      </c>
      <c r="C494" s="307">
        <f t="shared" si="7"/>
        <v>8.6722999999999999</v>
      </c>
      <c r="G494" s="307">
        <f>G491</f>
        <v>9.5299999999999994</v>
      </c>
    </row>
    <row r="495" spans="1:7" ht="30" customHeight="1">
      <c r="A495" s="170">
        <v>246</v>
      </c>
      <c r="B495" s="170" t="s">
        <v>704</v>
      </c>
      <c r="C495" s="307">
        <f t="shared" si="7"/>
        <v>6.4792000000000005</v>
      </c>
      <c r="G495" s="307">
        <f>G460</f>
        <v>7.12</v>
      </c>
    </row>
    <row r="496" spans="1:7" ht="30" customHeight="1">
      <c r="A496" s="170">
        <v>13</v>
      </c>
      <c r="B496" s="170" t="s">
        <v>703</v>
      </c>
      <c r="C496" s="307">
        <f t="shared" si="7"/>
        <v>5.5145999999999997</v>
      </c>
      <c r="G496" s="307">
        <v>6.06</v>
      </c>
    </row>
    <row r="497" spans="1:7" ht="30" customHeight="1">
      <c r="A497" s="170">
        <v>7307</v>
      </c>
      <c r="B497" s="170" t="s">
        <v>702</v>
      </c>
      <c r="C497" s="307">
        <f t="shared" si="7"/>
        <v>9.90808</v>
      </c>
      <c r="G497" s="307">
        <v>10.888</v>
      </c>
    </row>
    <row r="498" spans="1:7" ht="30" customHeight="1">
      <c r="A498" s="170">
        <v>6024</v>
      </c>
      <c r="B498" s="170" t="s">
        <v>739</v>
      </c>
      <c r="C498" s="307">
        <f t="shared" si="7"/>
        <v>50.341200000000001</v>
      </c>
      <c r="F498" s="88"/>
      <c r="G498" s="307">
        <v>55.32</v>
      </c>
    </row>
    <row r="499" spans="1:7" ht="30" customHeight="1">
      <c r="A499" s="170">
        <v>2696</v>
      </c>
      <c r="B499" s="170" t="s">
        <v>517</v>
      </c>
      <c r="C499" s="307">
        <f t="shared" si="7"/>
        <v>8.6722999999999999</v>
      </c>
      <c r="G499" s="307">
        <f>G491</f>
        <v>9.5299999999999994</v>
      </c>
    </row>
    <row r="500" spans="1:7" ht="30" customHeight="1">
      <c r="A500" s="170">
        <v>6116</v>
      </c>
      <c r="B500" s="170" t="s">
        <v>516</v>
      </c>
      <c r="C500" s="307">
        <f t="shared" si="7"/>
        <v>7.0798000000000005</v>
      </c>
      <c r="G500" s="307">
        <f>G490</f>
        <v>7.78</v>
      </c>
    </row>
    <row r="501" spans="1:7" ht="30" customHeight="1">
      <c r="A501" s="170">
        <v>6015</v>
      </c>
      <c r="B501" s="170" t="s">
        <v>740</v>
      </c>
      <c r="C501" s="307">
        <f t="shared" si="7"/>
        <v>99.535799999999995</v>
      </c>
      <c r="G501" s="307">
        <v>109.38</v>
      </c>
    </row>
    <row r="502" spans="1:7" ht="30" customHeight="1">
      <c r="A502" s="170">
        <v>3146</v>
      </c>
      <c r="B502" s="170" t="s">
        <v>716</v>
      </c>
      <c r="C502" s="307">
        <f t="shared" si="7"/>
        <v>1.365</v>
      </c>
      <c r="G502" s="307">
        <f>G488</f>
        <v>1.5</v>
      </c>
    </row>
    <row r="503" spans="1:7" ht="30" customHeight="1">
      <c r="A503" s="170">
        <v>6116</v>
      </c>
      <c r="B503" s="170" t="s">
        <v>516</v>
      </c>
      <c r="C503" s="307">
        <f t="shared" si="7"/>
        <v>7.0798000000000005</v>
      </c>
      <c r="G503" s="307">
        <f>G500</f>
        <v>7.78</v>
      </c>
    </row>
    <row r="504" spans="1:7" ht="30" customHeight="1">
      <c r="A504" s="170">
        <v>2696</v>
      </c>
      <c r="B504" s="170" t="s">
        <v>517</v>
      </c>
      <c r="C504" s="307">
        <f t="shared" si="7"/>
        <v>8.6722999999999999</v>
      </c>
      <c r="G504" s="307">
        <f>G494</f>
        <v>9.5299999999999994</v>
      </c>
    </row>
    <row r="505" spans="1:7" ht="30" customHeight="1">
      <c r="A505" s="170">
        <v>3146</v>
      </c>
      <c r="B505" s="170" t="s">
        <v>716</v>
      </c>
      <c r="C505" s="307">
        <f t="shared" si="7"/>
        <v>1.365</v>
      </c>
      <c r="G505" s="307">
        <f>G502</f>
        <v>1.5</v>
      </c>
    </row>
    <row r="506" spans="1:7" ht="30" customHeight="1">
      <c r="A506" s="170">
        <v>6013</v>
      </c>
      <c r="B506" s="170" t="s">
        <v>742</v>
      </c>
      <c r="C506" s="307">
        <f t="shared" si="7"/>
        <v>60.951800000000006</v>
      </c>
      <c r="G506" s="307">
        <v>66.98</v>
      </c>
    </row>
    <row r="507" spans="1:7" ht="30" customHeight="1">
      <c r="A507" s="170">
        <v>2696</v>
      </c>
      <c r="B507" s="170" t="s">
        <v>517</v>
      </c>
      <c r="C507" s="307">
        <f t="shared" si="7"/>
        <v>8.6722999999999999</v>
      </c>
      <c r="G507" s="307">
        <f>G504</f>
        <v>9.5299999999999994</v>
      </c>
    </row>
    <row r="508" spans="1:7" ht="30" customHeight="1">
      <c r="A508" s="170">
        <v>6116</v>
      </c>
      <c r="B508" s="170" t="s">
        <v>516</v>
      </c>
      <c r="C508" s="307">
        <f t="shared" si="7"/>
        <v>7.0798000000000005</v>
      </c>
      <c r="G508" s="307">
        <f>G503</f>
        <v>7.78</v>
      </c>
    </row>
    <row r="509" spans="1:7" ht="30" customHeight="1">
      <c r="A509" s="170">
        <v>6011</v>
      </c>
      <c r="B509" s="170" t="s">
        <v>744</v>
      </c>
      <c r="C509" s="307">
        <f t="shared" si="7"/>
        <v>199.53570000000002</v>
      </c>
      <c r="G509" s="307">
        <v>219.27</v>
      </c>
    </row>
    <row r="510" spans="1:7" ht="30" customHeight="1">
      <c r="A510" s="170">
        <v>3146</v>
      </c>
      <c r="B510" s="170" t="s">
        <v>716</v>
      </c>
      <c r="C510" s="307">
        <f t="shared" si="7"/>
        <v>1.365</v>
      </c>
      <c r="G510" s="307">
        <f>G505</f>
        <v>1.5</v>
      </c>
    </row>
    <row r="511" spans="1:7" ht="30" customHeight="1">
      <c r="A511" s="170">
        <v>6116</v>
      </c>
      <c r="B511" s="170" t="s">
        <v>516</v>
      </c>
      <c r="C511" s="307">
        <f t="shared" si="7"/>
        <v>7.0798000000000005</v>
      </c>
      <c r="G511" s="307">
        <f>G508</f>
        <v>7.78</v>
      </c>
    </row>
    <row r="512" spans="1:7" ht="30" customHeight="1">
      <c r="A512" s="170">
        <v>2696</v>
      </c>
      <c r="B512" s="170" t="s">
        <v>517</v>
      </c>
      <c r="C512" s="307">
        <f t="shared" si="7"/>
        <v>8.6722999999999999</v>
      </c>
      <c r="G512" s="307">
        <f>G507</f>
        <v>9.5299999999999994</v>
      </c>
    </row>
    <row r="513" spans="1:7" ht="30" customHeight="1">
      <c r="A513" s="170">
        <v>1368</v>
      </c>
      <c r="B513" s="306" t="s">
        <v>1351</v>
      </c>
      <c r="C513" s="307">
        <f t="shared" si="7"/>
        <v>36.4</v>
      </c>
      <c r="G513" s="307">
        <v>40</v>
      </c>
    </row>
    <row r="514" spans="1:7" ht="30" customHeight="1">
      <c r="A514" s="170">
        <v>3148</v>
      </c>
      <c r="B514" s="306" t="s">
        <v>1352</v>
      </c>
      <c r="C514" s="307">
        <f t="shared" si="7"/>
        <v>5.9604999999999997</v>
      </c>
      <c r="G514" s="307">
        <v>6.55</v>
      </c>
    </row>
    <row r="515" spans="1:7" ht="30" customHeight="1">
      <c r="A515" s="170">
        <v>2436</v>
      </c>
      <c r="B515" s="306" t="s">
        <v>513</v>
      </c>
      <c r="C515" s="307">
        <f t="shared" si="7"/>
        <v>11.302200000000001</v>
      </c>
      <c r="G515" s="307">
        <v>12.42</v>
      </c>
    </row>
    <row r="516" spans="1:7" ht="30" customHeight="1">
      <c r="A516" s="170">
        <v>6115</v>
      </c>
      <c r="B516" s="306" t="s">
        <v>509</v>
      </c>
      <c r="C516" s="307">
        <f t="shared" si="7"/>
        <v>6.4064000000000005</v>
      </c>
      <c r="G516" s="307">
        <v>7.04</v>
      </c>
    </row>
    <row r="517" spans="1:7" ht="30" customHeight="1">
      <c r="A517" s="170">
        <v>65</v>
      </c>
      <c r="B517" s="306" t="s">
        <v>745</v>
      </c>
      <c r="C517" s="307">
        <f t="shared" si="7"/>
        <v>0.6825</v>
      </c>
      <c r="G517" s="307">
        <v>0.75</v>
      </c>
    </row>
    <row r="518" spans="1:7" ht="30" customHeight="1">
      <c r="A518" s="170">
        <v>122</v>
      </c>
      <c r="B518" s="306" t="s">
        <v>746</v>
      </c>
      <c r="C518" s="307">
        <f t="shared" si="7"/>
        <v>25.898600000000002</v>
      </c>
      <c r="G518" s="307">
        <v>28.46</v>
      </c>
    </row>
    <row r="519" spans="1:7" ht="30" customHeight="1">
      <c r="A519" s="170">
        <v>3143</v>
      </c>
      <c r="B519" s="306" t="s">
        <v>713</v>
      </c>
      <c r="C519" s="307">
        <f t="shared" si="7"/>
        <v>3.1395000000000004</v>
      </c>
      <c r="G519" s="307">
        <f>G482</f>
        <v>3.45</v>
      </c>
    </row>
    <row r="520" spans="1:7" ht="30" customHeight="1">
      <c r="A520" s="170">
        <v>20083</v>
      </c>
      <c r="B520" s="306" t="s">
        <v>747</v>
      </c>
      <c r="C520" s="307">
        <f t="shared" si="7"/>
        <v>30.676100000000002</v>
      </c>
      <c r="G520" s="307">
        <v>33.71</v>
      </c>
    </row>
    <row r="521" spans="1:7" ht="30" customHeight="1">
      <c r="A521" s="170">
        <v>6116</v>
      </c>
      <c r="B521" s="306" t="s">
        <v>516</v>
      </c>
      <c r="C521" s="307">
        <f t="shared" si="7"/>
        <v>7.0798000000000005</v>
      </c>
      <c r="G521" s="307">
        <f>G511</f>
        <v>7.78</v>
      </c>
    </row>
    <row r="522" spans="1:7" ht="30" customHeight="1">
      <c r="A522" s="170">
        <v>2696</v>
      </c>
      <c r="B522" s="306" t="s">
        <v>517</v>
      </c>
      <c r="C522" s="307">
        <f t="shared" ref="C522:C585" si="8">G522*0.91</f>
        <v>8.6722999999999999</v>
      </c>
      <c r="G522" s="307">
        <f>G512</f>
        <v>9.5299999999999994</v>
      </c>
    </row>
    <row r="523" spans="1:7" ht="30" customHeight="1">
      <c r="A523" s="170">
        <v>108</v>
      </c>
      <c r="B523" s="306" t="s">
        <v>748</v>
      </c>
      <c r="C523" s="307">
        <f t="shared" si="8"/>
        <v>1.4378000000000002</v>
      </c>
      <c r="G523" s="307">
        <v>1.58</v>
      </c>
    </row>
    <row r="524" spans="1:7" ht="30" customHeight="1">
      <c r="A524" s="170">
        <v>122</v>
      </c>
      <c r="B524" s="306" t="s">
        <v>746</v>
      </c>
      <c r="C524" s="307">
        <f t="shared" si="8"/>
        <v>25.898600000000002</v>
      </c>
      <c r="G524" s="307">
        <f>G518</f>
        <v>28.46</v>
      </c>
    </row>
    <row r="525" spans="1:7" ht="30" customHeight="1">
      <c r="A525" s="170">
        <v>3143</v>
      </c>
      <c r="B525" s="306" t="s">
        <v>713</v>
      </c>
      <c r="C525" s="307">
        <f t="shared" si="8"/>
        <v>3.1395000000000004</v>
      </c>
      <c r="G525" s="307">
        <f>G519</f>
        <v>3.45</v>
      </c>
    </row>
    <row r="526" spans="1:7" ht="30" customHeight="1">
      <c r="A526" s="170">
        <v>20083</v>
      </c>
      <c r="B526" s="306" t="s">
        <v>747</v>
      </c>
      <c r="C526" s="307">
        <f t="shared" si="8"/>
        <v>30.676100000000002</v>
      </c>
      <c r="G526" s="307">
        <f>G520</f>
        <v>33.71</v>
      </c>
    </row>
    <row r="527" spans="1:7" ht="30" customHeight="1">
      <c r="A527" s="170">
        <v>2696</v>
      </c>
      <c r="B527" s="306" t="s">
        <v>517</v>
      </c>
      <c r="C527" s="307">
        <f t="shared" si="8"/>
        <v>8.6722999999999999</v>
      </c>
      <c r="G527" s="307">
        <f>G522</f>
        <v>9.5299999999999994</v>
      </c>
    </row>
    <row r="528" spans="1:7" ht="30" customHeight="1">
      <c r="A528" s="170">
        <v>6116</v>
      </c>
      <c r="B528" s="306" t="s">
        <v>516</v>
      </c>
      <c r="C528" s="307">
        <f t="shared" si="8"/>
        <v>7.0798000000000005</v>
      </c>
      <c r="G528" s="307">
        <f>G521</f>
        <v>7.78</v>
      </c>
    </row>
    <row r="529" spans="1:7" ht="30" customHeight="1">
      <c r="A529" s="170">
        <v>112</v>
      </c>
      <c r="B529" s="306" t="s">
        <v>750</v>
      </c>
      <c r="C529" s="307">
        <f t="shared" si="8"/>
        <v>3.7583000000000002</v>
      </c>
      <c r="G529" s="307">
        <v>4.13</v>
      </c>
    </row>
    <row r="530" spans="1:7" ht="30" customHeight="1">
      <c r="A530" s="170">
        <v>122</v>
      </c>
      <c r="B530" s="306" t="s">
        <v>746</v>
      </c>
      <c r="C530" s="307">
        <f t="shared" si="8"/>
        <v>25.898600000000002</v>
      </c>
      <c r="G530" s="307">
        <f>G524</f>
        <v>28.46</v>
      </c>
    </row>
    <row r="531" spans="1:7" ht="30" customHeight="1">
      <c r="A531" s="170">
        <v>3143</v>
      </c>
      <c r="B531" s="306" t="s">
        <v>713</v>
      </c>
      <c r="C531" s="307">
        <f t="shared" si="8"/>
        <v>3.1395000000000004</v>
      </c>
      <c r="G531" s="307">
        <f>G525</f>
        <v>3.45</v>
      </c>
    </row>
    <row r="532" spans="1:7" ht="30" customHeight="1">
      <c r="A532" s="170">
        <v>20083</v>
      </c>
      <c r="B532" s="306" t="s">
        <v>747</v>
      </c>
      <c r="C532" s="307">
        <f t="shared" si="8"/>
        <v>30.676100000000002</v>
      </c>
      <c r="G532" s="307">
        <f>G526</f>
        <v>33.71</v>
      </c>
    </row>
    <row r="533" spans="1:7" ht="30" customHeight="1">
      <c r="A533" s="170">
        <v>6116</v>
      </c>
      <c r="B533" s="306" t="s">
        <v>516</v>
      </c>
      <c r="C533" s="307">
        <f t="shared" si="8"/>
        <v>7.0798000000000005</v>
      </c>
      <c r="G533" s="307">
        <f>G528</f>
        <v>7.78</v>
      </c>
    </row>
    <row r="534" spans="1:7" ht="30" customHeight="1">
      <c r="A534" s="170">
        <v>2696</v>
      </c>
      <c r="B534" s="306" t="s">
        <v>517</v>
      </c>
      <c r="C534" s="307">
        <f t="shared" si="8"/>
        <v>8.6722999999999999</v>
      </c>
      <c r="G534" s="307">
        <f>G527</f>
        <v>9.5299999999999994</v>
      </c>
    </row>
    <row r="535" spans="1:7" ht="30" customHeight="1">
      <c r="A535" s="170">
        <v>122</v>
      </c>
      <c r="B535" s="306" t="s">
        <v>746</v>
      </c>
      <c r="C535" s="307">
        <f t="shared" si="8"/>
        <v>25.898600000000002</v>
      </c>
      <c r="G535" s="307">
        <f>G530</f>
        <v>28.46</v>
      </c>
    </row>
    <row r="536" spans="1:7" ht="30" customHeight="1">
      <c r="A536" s="170">
        <v>3143</v>
      </c>
      <c r="B536" s="306" t="s">
        <v>713</v>
      </c>
      <c r="C536" s="307">
        <f t="shared" si="8"/>
        <v>3.1395000000000004</v>
      </c>
      <c r="G536" s="307">
        <f>G531</f>
        <v>3.45</v>
      </c>
    </row>
    <row r="537" spans="1:7" ht="30" customHeight="1">
      <c r="A537" s="170">
        <v>20083</v>
      </c>
      <c r="B537" s="306" t="s">
        <v>747</v>
      </c>
      <c r="C537" s="307">
        <f t="shared" si="8"/>
        <v>30.676100000000002</v>
      </c>
      <c r="G537" s="307">
        <f>G532</f>
        <v>33.71</v>
      </c>
    </row>
    <row r="538" spans="1:7" ht="30" customHeight="1">
      <c r="A538" s="170">
        <v>104</v>
      </c>
      <c r="B538" s="306" t="s">
        <v>752</v>
      </c>
      <c r="C538" s="307">
        <f t="shared" si="8"/>
        <v>19.319300000000002</v>
      </c>
      <c r="G538" s="307">
        <v>21.23</v>
      </c>
    </row>
    <row r="539" spans="1:7" ht="30" customHeight="1">
      <c r="A539" s="170">
        <v>6116</v>
      </c>
      <c r="B539" s="306" t="s">
        <v>516</v>
      </c>
      <c r="C539" s="307">
        <f t="shared" si="8"/>
        <v>7.0798000000000005</v>
      </c>
      <c r="G539" s="307">
        <f>G533</f>
        <v>7.78</v>
      </c>
    </row>
    <row r="540" spans="1:7" ht="30" customHeight="1">
      <c r="A540" s="170">
        <v>2696</v>
      </c>
      <c r="B540" s="306" t="s">
        <v>517</v>
      </c>
      <c r="C540" s="307">
        <f t="shared" si="8"/>
        <v>8.6722999999999999</v>
      </c>
      <c r="G540" s="307">
        <f>G534</f>
        <v>9.5299999999999994</v>
      </c>
    </row>
    <row r="541" spans="1:7" ht="30" customHeight="1">
      <c r="A541" s="170">
        <v>832</v>
      </c>
      <c r="B541" s="170" t="s">
        <v>754</v>
      </c>
      <c r="C541" s="307">
        <f t="shared" si="8"/>
        <v>1.2194</v>
      </c>
      <c r="G541" s="307">
        <v>1.34</v>
      </c>
    </row>
    <row r="542" spans="1:7" ht="30" customHeight="1">
      <c r="A542" s="170">
        <v>122</v>
      </c>
      <c r="B542" s="170" t="s">
        <v>746</v>
      </c>
      <c r="C542" s="307">
        <f t="shared" si="8"/>
        <v>25.898600000000002</v>
      </c>
      <c r="G542" s="307">
        <f>G535</f>
        <v>28.46</v>
      </c>
    </row>
    <row r="543" spans="1:7" ht="30" customHeight="1">
      <c r="A543" s="170">
        <v>20083</v>
      </c>
      <c r="B543" s="170" t="s">
        <v>747</v>
      </c>
      <c r="C543" s="307">
        <f t="shared" si="8"/>
        <v>30.676100000000002</v>
      </c>
      <c r="G543" s="307">
        <f>G537</f>
        <v>33.71</v>
      </c>
    </row>
    <row r="544" spans="1:7" ht="30" customHeight="1">
      <c r="A544" s="170">
        <v>2696</v>
      </c>
      <c r="B544" s="170" t="s">
        <v>517</v>
      </c>
      <c r="C544" s="307">
        <f t="shared" si="8"/>
        <v>8.6722999999999999</v>
      </c>
      <c r="G544" s="307">
        <f>G534</f>
        <v>9.5299999999999994</v>
      </c>
    </row>
    <row r="545" spans="1:7" ht="30" customHeight="1">
      <c r="A545" s="170">
        <v>6115</v>
      </c>
      <c r="B545" s="170" t="s">
        <v>509</v>
      </c>
      <c r="C545" s="307">
        <f t="shared" si="8"/>
        <v>6.4064000000000005</v>
      </c>
      <c r="G545" s="307">
        <f>G467</f>
        <v>7.04</v>
      </c>
    </row>
    <row r="546" spans="1:7" ht="30" customHeight="1">
      <c r="A546" s="170">
        <v>819</v>
      </c>
      <c r="B546" s="306" t="s">
        <v>756</v>
      </c>
      <c r="C546" s="307">
        <f t="shared" si="8"/>
        <v>1.5925</v>
      </c>
      <c r="G546" s="307">
        <v>1.75</v>
      </c>
    </row>
    <row r="547" spans="1:7" ht="30" customHeight="1">
      <c r="A547" s="170">
        <v>122</v>
      </c>
      <c r="B547" s="306" t="s">
        <v>746</v>
      </c>
      <c r="C547" s="307">
        <f t="shared" si="8"/>
        <v>25.898600000000002</v>
      </c>
      <c r="G547" s="307">
        <f>G542</f>
        <v>28.46</v>
      </c>
    </row>
    <row r="548" spans="1:7" ht="30" customHeight="1">
      <c r="A548" s="170">
        <v>20083</v>
      </c>
      <c r="B548" s="306" t="s">
        <v>747</v>
      </c>
      <c r="C548" s="307">
        <f t="shared" si="8"/>
        <v>30.676100000000002</v>
      </c>
      <c r="G548" s="307">
        <f>G543</f>
        <v>33.71</v>
      </c>
    </row>
    <row r="549" spans="1:7" ht="30" customHeight="1">
      <c r="A549" s="170">
        <v>2696</v>
      </c>
      <c r="B549" s="306" t="s">
        <v>517</v>
      </c>
      <c r="C549" s="307">
        <f t="shared" si="8"/>
        <v>8.6722999999999999</v>
      </c>
      <c r="G549" s="307">
        <f>G540</f>
        <v>9.5299999999999994</v>
      </c>
    </row>
    <row r="550" spans="1:7" ht="30" customHeight="1">
      <c r="A550" s="170">
        <v>6116</v>
      </c>
      <c r="B550" s="306" t="s">
        <v>516</v>
      </c>
      <c r="C550" s="307">
        <f t="shared" si="8"/>
        <v>7.0798000000000005</v>
      </c>
      <c r="G550" s="307">
        <f>G539</f>
        <v>7.78</v>
      </c>
    </row>
    <row r="551" spans="1:7" ht="30" customHeight="1">
      <c r="A551" s="170">
        <v>818</v>
      </c>
      <c r="B551" s="306" t="s">
        <v>758</v>
      </c>
      <c r="C551" s="307">
        <f t="shared" si="8"/>
        <v>3.1122000000000001</v>
      </c>
      <c r="G551" s="307">
        <v>3.42</v>
      </c>
    </row>
    <row r="552" spans="1:7" ht="30" customHeight="1">
      <c r="A552" s="170">
        <v>122</v>
      </c>
      <c r="B552" s="306" t="s">
        <v>746</v>
      </c>
      <c r="C552" s="307">
        <f t="shared" si="8"/>
        <v>25.898600000000002</v>
      </c>
      <c r="G552" s="307">
        <f>G547</f>
        <v>28.46</v>
      </c>
    </row>
    <row r="553" spans="1:7" ht="30" customHeight="1">
      <c r="A553" s="170">
        <v>20083</v>
      </c>
      <c r="B553" s="306" t="s">
        <v>747</v>
      </c>
      <c r="C553" s="307">
        <f t="shared" si="8"/>
        <v>30.676100000000002</v>
      </c>
      <c r="G553" s="307">
        <f>G548</f>
        <v>33.71</v>
      </c>
    </row>
    <row r="554" spans="1:7" ht="30" customHeight="1">
      <c r="A554" s="170">
        <v>2696</v>
      </c>
      <c r="B554" s="306" t="s">
        <v>517</v>
      </c>
      <c r="C554" s="307">
        <f t="shared" si="8"/>
        <v>8.6722999999999999</v>
      </c>
      <c r="G554" s="307">
        <f>G544</f>
        <v>9.5299999999999994</v>
      </c>
    </row>
    <row r="555" spans="1:7" ht="30" customHeight="1">
      <c r="A555" s="170">
        <v>6116</v>
      </c>
      <c r="B555" s="306" t="s">
        <v>516</v>
      </c>
      <c r="C555" s="307">
        <f t="shared" si="8"/>
        <v>7.0798000000000005</v>
      </c>
      <c r="G555" s="307">
        <f>G550</f>
        <v>7.78</v>
      </c>
    </row>
    <row r="556" spans="1:7" ht="30" customHeight="1">
      <c r="A556" s="170">
        <v>823</v>
      </c>
      <c r="B556" s="306" t="s">
        <v>760</v>
      </c>
      <c r="C556" s="307">
        <f t="shared" si="8"/>
        <v>7.1434999999999995</v>
      </c>
      <c r="G556" s="307">
        <v>7.85</v>
      </c>
    </row>
    <row r="557" spans="1:7" ht="30" customHeight="1">
      <c r="A557" s="170">
        <v>122</v>
      </c>
      <c r="B557" s="306" t="s">
        <v>746</v>
      </c>
      <c r="C557" s="307">
        <f t="shared" si="8"/>
        <v>25.898600000000002</v>
      </c>
      <c r="G557" s="307">
        <f>G552</f>
        <v>28.46</v>
      </c>
    </row>
    <row r="558" spans="1:7" ht="30" customHeight="1">
      <c r="A558" s="170">
        <v>20083</v>
      </c>
      <c r="B558" s="306" t="s">
        <v>747</v>
      </c>
      <c r="C558" s="307">
        <f t="shared" si="8"/>
        <v>30.676100000000002</v>
      </c>
      <c r="G558" s="307">
        <f>G553</f>
        <v>33.71</v>
      </c>
    </row>
    <row r="559" spans="1:7" ht="30" customHeight="1">
      <c r="A559" s="170">
        <v>2696</v>
      </c>
      <c r="B559" s="306" t="s">
        <v>517</v>
      </c>
      <c r="C559" s="307">
        <f t="shared" si="8"/>
        <v>8.6722999999999999</v>
      </c>
      <c r="G559" s="307">
        <f>G554</f>
        <v>9.5299999999999994</v>
      </c>
    </row>
    <row r="560" spans="1:7" ht="30" customHeight="1">
      <c r="A560" s="170">
        <v>6116</v>
      </c>
      <c r="B560" s="306" t="s">
        <v>516</v>
      </c>
      <c r="C560" s="307">
        <f t="shared" si="8"/>
        <v>7.0798000000000005</v>
      </c>
      <c r="G560" s="307">
        <f>G555</f>
        <v>7.78</v>
      </c>
    </row>
    <row r="561" spans="1:7" ht="30" customHeight="1">
      <c r="A561" s="170">
        <v>122</v>
      </c>
      <c r="B561" s="306" t="s">
        <v>746</v>
      </c>
      <c r="C561" s="307">
        <f t="shared" si="8"/>
        <v>25.898600000000002</v>
      </c>
      <c r="G561" s="307">
        <f>G557</f>
        <v>28.46</v>
      </c>
    </row>
    <row r="562" spans="1:7" ht="30" customHeight="1">
      <c r="A562" s="170">
        <v>20083</v>
      </c>
      <c r="B562" s="306" t="s">
        <v>747</v>
      </c>
      <c r="C562" s="307">
        <f t="shared" si="8"/>
        <v>30.676100000000002</v>
      </c>
      <c r="G562" s="307">
        <f>G558</f>
        <v>33.71</v>
      </c>
    </row>
    <row r="563" spans="1:7" ht="30" customHeight="1">
      <c r="A563" s="170">
        <v>831</v>
      </c>
      <c r="B563" s="306" t="s">
        <v>762</v>
      </c>
      <c r="C563" s="307">
        <f t="shared" si="8"/>
        <v>33.979400000000005</v>
      </c>
      <c r="G563" s="307">
        <v>37.340000000000003</v>
      </c>
    </row>
    <row r="564" spans="1:7" ht="30" customHeight="1">
      <c r="A564" s="170">
        <v>2696</v>
      </c>
      <c r="B564" s="306" t="s">
        <v>517</v>
      </c>
      <c r="C564" s="307">
        <f t="shared" si="8"/>
        <v>8.6722999999999999</v>
      </c>
      <c r="G564" s="307">
        <f>G559</f>
        <v>9.5299999999999994</v>
      </c>
    </row>
    <row r="565" spans="1:7" ht="30" customHeight="1">
      <c r="A565" s="170">
        <v>6116</v>
      </c>
      <c r="B565" s="306" t="s">
        <v>516</v>
      </c>
      <c r="C565" s="307">
        <f t="shared" si="8"/>
        <v>7.0798000000000005</v>
      </c>
      <c r="G565" s="307">
        <f>G560</f>
        <v>7.78</v>
      </c>
    </row>
    <row r="566" spans="1:7" ht="30" customHeight="1">
      <c r="A566" s="170">
        <v>122</v>
      </c>
      <c r="B566" s="306" t="s">
        <v>746</v>
      </c>
      <c r="C566" s="307">
        <f t="shared" si="8"/>
        <v>25.898600000000002</v>
      </c>
      <c r="G566" s="307">
        <f>G557</f>
        <v>28.46</v>
      </c>
    </row>
    <row r="567" spans="1:7" ht="30" customHeight="1">
      <c r="A567" s="170">
        <v>20083</v>
      </c>
      <c r="B567" s="306" t="s">
        <v>747</v>
      </c>
      <c r="C567" s="307">
        <f t="shared" si="8"/>
        <v>30.676100000000002</v>
      </c>
      <c r="G567" s="307">
        <f>G562</f>
        <v>33.71</v>
      </c>
    </row>
    <row r="568" spans="1:7" ht="30" customHeight="1">
      <c r="A568" s="170">
        <v>834</v>
      </c>
      <c r="B568" s="306" t="s">
        <v>764</v>
      </c>
      <c r="C568" s="307">
        <f t="shared" si="8"/>
        <v>1.8928</v>
      </c>
      <c r="G568" s="307">
        <v>2.08</v>
      </c>
    </row>
    <row r="569" spans="1:7" ht="30" customHeight="1">
      <c r="A569" s="170">
        <v>2696</v>
      </c>
      <c r="B569" s="306" t="s">
        <v>517</v>
      </c>
      <c r="C569" s="307">
        <f t="shared" si="8"/>
        <v>8.6722999999999999</v>
      </c>
      <c r="G569" s="307">
        <f>G559</f>
        <v>9.5299999999999994</v>
      </c>
    </row>
    <row r="570" spans="1:7" ht="30" customHeight="1">
      <c r="A570" s="170">
        <v>6116</v>
      </c>
      <c r="B570" s="306" t="s">
        <v>516</v>
      </c>
      <c r="C570" s="307">
        <f t="shared" si="8"/>
        <v>7.0798000000000005</v>
      </c>
      <c r="G570" s="307">
        <f>G560</f>
        <v>7.78</v>
      </c>
    </row>
    <row r="571" spans="1:7" ht="30" customHeight="1">
      <c r="A571" s="170">
        <v>813</v>
      </c>
      <c r="B571" s="306" t="s">
        <v>766</v>
      </c>
      <c r="C571" s="307">
        <f t="shared" si="8"/>
        <v>1.5925</v>
      </c>
      <c r="G571" s="307">
        <v>1.75</v>
      </c>
    </row>
    <row r="572" spans="1:7" ht="30" customHeight="1">
      <c r="A572" s="170">
        <v>122</v>
      </c>
      <c r="B572" s="306" t="s">
        <v>746</v>
      </c>
      <c r="C572" s="307">
        <f t="shared" si="8"/>
        <v>25.898600000000002</v>
      </c>
      <c r="G572" s="307">
        <f>G561</f>
        <v>28.46</v>
      </c>
    </row>
    <row r="573" spans="1:7" ht="30" customHeight="1">
      <c r="A573" s="170">
        <v>20083</v>
      </c>
      <c r="B573" s="306" t="s">
        <v>747</v>
      </c>
      <c r="C573" s="307">
        <f t="shared" si="8"/>
        <v>30.676100000000002</v>
      </c>
      <c r="G573" s="307">
        <f>G567</f>
        <v>33.71</v>
      </c>
    </row>
    <row r="574" spans="1:7" ht="30" customHeight="1">
      <c r="A574" s="170">
        <v>2696</v>
      </c>
      <c r="B574" s="306" t="s">
        <v>517</v>
      </c>
      <c r="C574" s="307">
        <f t="shared" si="8"/>
        <v>8.6722999999999999</v>
      </c>
      <c r="G574" s="307">
        <f>G569</f>
        <v>9.5299999999999994</v>
      </c>
    </row>
    <row r="575" spans="1:7" ht="30" customHeight="1">
      <c r="A575" s="170">
        <v>6116</v>
      </c>
      <c r="B575" s="306" t="s">
        <v>516</v>
      </c>
      <c r="C575" s="307">
        <f t="shared" si="8"/>
        <v>7.0798000000000005</v>
      </c>
      <c r="G575" s="307">
        <f>G570</f>
        <v>7.78</v>
      </c>
    </row>
    <row r="576" spans="1:7" ht="30" customHeight="1">
      <c r="A576" s="170">
        <v>820</v>
      </c>
      <c r="B576" s="306" t="s">
        <v>768</v>
      </c>
      <c r="C576" s="307">
        <f t="shared" si="8"/>
        <v>2.3478000000000003</v>
      </c>
      <c r="G576" s="307">
        <v>2.58</v>
      </c>
    </row>
    <row r="577" spans="1:7" ht="30" customHeight="1">
      <c r="A577" s="170">
        <v>122</v>
      </c>
      <c r="B577" s="306" t="s">
        <v>746</v>
      </c>
      <c r="C577" s="307">
        <f t="shared" si="8"/>
        <v>25.898600000000002</v>
      </c>
      <c r="G577" s="307">
        <f>G572</f>
        <v>28.46</v>
      </c>
    </row>
    <row r="578" spans="1:7" ht="30" customHeight="1">
      <c r="A578" s="170">
        <v>20083</v>
      </c>
      <c r="B578" s="306" t="s">
        <v>747</v>
      </c>
      <c r="C578" s="307">
        <f t="shared" si="8"/>
        <v>30.676100000000002</v>
      </c>
      <c r="G578" s="307">
        <f>G573</f>
        <v>33.71</v>
      </c>
    </row>
    <row r="579" spans="1:7" ht="30" customHeight="1">
      <c r="A579" s="170">
        <v>2696</v>
      </c>
      <c r="B579" s="306" t="s">
        <v>517</v>
      </c>
      <c r="C579" s="307">
        <f t="shared" si="8"/>
        <v>8.6722999999999999</v>
      </c>
      <c r="G579" s="307">
        <f>G574</f>
        <v>9.5299999999999994</v>
      </c>
    </row>
    <row r="580" spans="1:7" ht="30" customHeight="1">
      <c r="A580" s="170">
        <v>6116</v>
      </c>
      <c r="B580" s="306" t="s">
        <v>516</v>
      </c>
      <c r="C580" s="307">
        <f t="shared" si="8"/>
        <v>7.0798000000000005</v>
      </c>
      <c r="G580" s="307">
        <f>G575</f>
        <v>7.78</v>
      </c>
    </row>
    <row r="581" spans="1:7" ht="30" customHeight="1">
      <c r="A581" s="170">
        <v>822</v>
      </c>
      <c r="B581" s="306" t="s">
        <v>770</v>
      </c>
      <c r="C581" s="307">
        <f t="shared" si="8"/>
        <v>7.644000000000001</v>
      </c>
      <c r="G581" s="307">
        <v>8.4</v>
      </c>
    </row>
    <row r="582" spans="1:7" ht="30" customHeight="1">
      <c r="A582" s="170">
        <v>122</v>
      </c>
      <c r="B582" s="306" t="s">
        <v>746</v>
      </c>
      <c r="C582" s="307">
        <f t="shared" si="8"/>
        <v>25.898600000000002</v>
      </c>
      <c r="G582" s="307">
        <f>G577</f>
        <v>28.46</v>
      </c>
    </row>
    <row r="583" spans="1:7" ht="30" customHeight="1">
      <c r="A583" s="170">
        <v>20083</v>
      </c>
      <c r="B583" s="306" t="s">
        <v>747</v>
      </c>
      <c r="C583" s="307">
        <f t="shared" si="8"/>
        <v>30.676100000000002</v>
      </c>
      <c r="G583" s="307">
        <f>G573</f>
        <v>33.71</v>
      </c>
    </row>
    <row r="584" spans="1:7" ht="30" customHeight="1">
      <c r="A584" s="170">
        <v>2696</v>
      </c>
      <c r="B584" s="306" t="s">
        <v>517</v>
      </c>
      <c r="C584" s="307">
        <f t="shared" si="8"/>
        <v>8.6722999999999999</v>
      </c>
      <c r="G584" s="307">
        <f>G574</f>
        <v>9.5299999999999994</v>
      </c>
    </row>
    <row r="585" spans="1:7" ht="30" customHeight="1">
      <c r="A585" s="170">
        <v>6116</v>
      </c>
      <c r="B585" s="306" t="s">
        <v>516</v>
      </c>
      <c r="C585" s="307">
        <f t="shared" si="8"/>
        <v>7.0798000000000005</v>
      </c>
      <c r="G585" s="307">
        <f>G575</f>
        <v>7.78</v>
      </c>
    </row>
    <row r="586" spans="1:7" ht="30" customHeight="1">
      <c r="A586" s="170">
        <v>821</v>
      </c>
      <c r="B586" s="306" t="s">
        <v>772</v>
      </c>
      <c r="C586" s="307">
        <f t="shared" ref="C586:C649" si="9">G586*0.91</f>
        <v>8.899799999999999</v>
      </c>
      <c r="G586" s="307">
        <v>9.7799999999999994</v>
      </c>
    </row>
    <row r="587" spans="1:7" ht="30" customHeight="1">
      <c r="A587" s="170">
        <v>122</v>
      </c>
      <c r="B587" s="306" t="s">
        <v>746</v>
      </c>
      <c r="C587" s="307">
        <f t="shared" si="9"/>
        <v>25.898600000000002</v>
      </c>
      <c r="G587" s="307">
        <f>G582</f>
        <v>28.46</v>
      </c>
    </row>
    <row r="588" spans="1:7" ht="30" customHeight="1">
      <c r="A588" s="170">
        <v>20083</v>
      </c>
      <c r="B588" s="306" t="s">
        <v>747</v>
      </c>
      <c r="C588" s="307">
        <f t="shared" si="9"/>
        <v>30.676100000000002</v>
      </c>
      <c r="G588" s="307">
        <f>G583</f>
        <v>33.71</v>
      </c>
    </row>
    <row r="589" spans="1:7" ht="30" customHeight="1">
      <c r="A589" s="170">
        <v>2696</v>
      </c>
      <c r="B589" s="306" t="s">
        <v>517</v>
      </c>
      <c r="C589" s="307">
        <f t="shared" si="9"/>
        <v>8.6722999999999999</v>
      </c>
      <c r="G589" s="307">
        <f>G584</f>
        <v>9.5299999999999994</v>
      </c>
    </row>
    <row r="590" spans="1:7" ht="30" customHeight="1">
      <c r="A590" s="170">
        <v>6116</v>
      </c>
      <c r="B590" s="306" t="s">
        <v>516</v>
      </c>
      <c r="C590" s="307">
        <f t="shared" si="9"/>
        <v>7.0798000000000005</v>
      </c>
      <c r="G590" s="307">
        <f>G585</f>
        <v>7.78</v>
      </c>
    </row>
    <row r="591" spans="1:7" ht="30" customHeight="1">
      <c r="A591" s="170">
        <v>122</v>
      </c>
      <c r="B591" s="306" t="s">
        <v>746</v>
      </c>
      <c r="C591" s="307">
        <f t="shared" si="9"/>
        <v>25.898600000000002</v>
      </c>
      <c r="G591" s="307">
        <f>G582</f>
        <v>28.46</v>
      </c>
    </row>
    <row r="592" spans="1:7" ht="30" customHeight="1">
      <c r="A592" s="170">
        <v>20083</v>
      </c>
      <c r="B592" s="306" t="s">
        <v>747</v>
      </c>
      <c r="C592" s="307">
        <f t="shared" si="9"/>
        <v>30.676100000000002</v>
      </c>
      <c r="G592" s="307">
        <f>G583</f>
        <v>33.71</v>
      </c>
    </row>
    <row r="593" spans="1:7" ht="30" customHeight="1">
      <c r="A593" s="170">
        <v>817</v>
      </c>
      <c r="B593" s="306" t="s">
        <v>774</v>
      </c>
      <c r="C593" s="307">
        <f t="shared" si="9"/>
        <v>9.7005999999999997</v>
      </c>
      <c r="G593" s="307">
        <v>10.66</v>
      </c>
    </row>
    <row r="594" spans="1:7" ht="30" customHeight="1">
      <c r="A594" s="170">
        <v>2696</v>
      </c>
      <c r="B594" s="306" t="s">
        <v>517</v>
      </c>
      <c r="C594" s="307">
        <f t="shared" si="9"/>
        <v>8.6722999999999999</v>
      </c>
      <c r="G594" s="307">
        <f>G589</f>
        <v>9.5299999999999994</v>
      </c>
    </row>
    <row r="595" spans="1:7" ht="30" customHeight="1">
      <c r="A595" s="170">
        <v>6115</v>
      </c>
      <c r="B595" s="306" t="s">
        <v>775</v>
      </c>
      <c r="C595" s="307">
        <f t="shared" si="9"/>
        <v>6.4064000000000005</v>
      </c>
      <c r="G595" s="307">
        <f>G545</f>
        <v>7.04</v>
      </c>
    </row>
    <row r="596" spans="1:7" ht="30" customHeight="1">
      <c r="A596" s="170">
        <v>122</v>
      </c>
      <c r="B596" s="306" t="s">
        <v>746</v>
      </c>
      <c r="C596" s="307">
        <f t="shared" si="9"/>
        <v>25.898600000000002</v>
      </c>
      <c r="G596" s="307">
        <f>G591</f>
        <v>28.46</v>
      </c>
    </row>
    <row r="597" spans="1:7" ht="30" customHeight="1">
      <c r="A597" s="170">
        <v>20083</v>
      </c>
      <c r="B597" s="306" t="s">
        <v>747</v>
      </c>
      <c r="C597" s="307">
        <f t="shared" si="9"/>
        <v>30.676100000000002</v>
      </c>
      <c r="G597" s="307">
        <f>G588</f>
        <v>33.71</v>
      </c>
    </row>
    <row r="598" spans="1:7" ht="30" customHeight="1">
      <c r="A598" s="170">
        <v>826</v>
      </c>
      <c r="B598" s="306" t="s">
        <v>777</v>
      </c>
      <c r="C598" s="307">
        <f t="shared" si="9"/>
        <v>15.670199999999999</v>
      </c>
      <c r="G598" s="307">
        <v>17.22</v>
      </c>
    </row>
    <row r="599" spans="1:7" ht="30" customHeight="1">
      <c r="A599" s="170">
        <v>2696</v>
      </c>
      <c r="B599" s="306" t="s">
        <v>517</v>
      </c>
      <c r="C599" s="307">
        <f t="shared" si="9"/>
        <v>8.6722999999999999</v>
      </c>
      <c r="G599" s="307">
        <f>G589</f>
        <v>9.5299999999999994</v>
      </c>
    </row>
    <row r="600" spans="1:7" ht="30" customHeight="1">
      <c r="A600" s="170">
        <v>6115</v>
      </c>
      <c r="B600" s="306" t="s">
        <v>509</v>
      </c>
      <c r="C600" s="307">
        <f t="shared" si="9"/>
        <v>6.4064000000000005</v>
      </c>
      <c r="G600" s="307">
        <f>G595</f>
        <v>7.04</v>
      </c>
    </row>
    <row r="601" spans="1:7" ht="30" customHeight="1">
      <c r="A601" s="170">
        <v>122</v>
      </c>
      <c r="B601" s="306" t="s">
        <v>746</v>
      </c>
      <c r="C601" s="307">
        <f t="shared" si="9"/>
        <v>25.898600000000002</v>
      </c>
      <c r="G601" s="307">
        <f>G591</f>
        <v>28.46</v>
      </c>
    </row>
    <row r="602" spans="1:7" ht="30" customHeight="1">
      <c r="A602" s="170">
        <v>1184</v>
      </c>
      <c r="B602" s="306" t="s">
        <v>279</v>
      </c>
      <c r="C602" s="307">
        <f t="shared" si="9"/>
        <v>24.078600000000002</v>
      </c>
      <c r="G602" s="307">
        <v>26.46</v>
      </c>
    </row>
    <row r="603" spans="1:7" ht="30" customHeight="1">
      <c r="A603" s="170">
        <v>20083</v>
      </c>
      <c r="B603" s="306" t="s">
        <v>747</v>
      </c>
      <c r="C603" s="307">
        <f t="shared" si="9"/>
        <v>30.676100000000002</v>
      </c>
      <c r="G603" s="307">
        <f>G597</f>
        <v>33.71</v>
      </c>
    </row>
    <row r="604" spans="1:7" ht="30" customHeight="1">
      <c r="A604" s="170">
        <v>6115</v>
      </c>
      <c r="B604" s="306" t="s">
        <v>509</v>
      </c>
      <c r="C604" s="307">
        <f t="shared" si="9"/>
        <v>6.4064000000000005</v>
      </c>
      <c r="G604" s="307">
        <f>G600</f>
        <v>7.04</v>
      </c>
    </row>
    <row r="605" spans="1:7" ht="30" customHeight="1">
      <c r="A605" s="170">
        <v>2696</v>
      </c>
      <c r="B605" s="306" t="s">
        <v>517</v>
      </c>
      <c r="C605" s="307">
        <f t="shared" si="9"/>
        <v>8.6722999999999999</v>
      </c>
      <c r="G605" s="307">
        <f>G599</f>
        <v>9.5299999999999994</v>
      </c>
    </row>
    <row r="606" spans="1:7" ht="30" customHeight="1">
      <c r="A606" s="170">
        <v>122</v>
      </c>
      <c r="B606" s="306" t="s">
        <v>746</v>
      </c>
      <c r="C606" s="307">
        <f t="shared" si="9"/>
        <v>25.898600000000002</v>
      </c>
      <c r="G606" s="307">
        <f>G601</f>
        <v>28.46</v>
      </c>
    </row>
    <row r="607" spans="1:7" ht="30" customHeight="1">
      <c r="A607" s="170">
        <v>3529</v>
      </c>
      <c r="B607" s="306" t="s">
        <v>780</v>
      </c>
      <c r="C607" s="307">
        <f t="shared" si="9"/>
        <v>0.37309999999999999</v>
      </c>
      <c r="G607" s="307">
        <v>0.41</v>
      </c>
    </row>
    <row r="608" spans="1:7" ht="30" customHeight="1">
      <c r="A608" s="170">
        <v>20083</v>
      </c>
      <c r="B608" s="306" t="s">
        <v>747</v>
      </c>
      <c r="C608" s="307">
        <f t="shared" si="9"/>
        <v>30.676100000000002</v>
      </c>
      <c r="G608" s="307">
        <f>G603</f>
        <v>33.71</v>
      </c>
    </row>
    <row r="609" spans="1:7" ht="30" customHeight="1">
      <c r="A609" s="170">
        <v>6115</v>
      </c>
      <c r="B609" s="306" t="s">
        <v>509</v>
      </c>
      <c r="C609" s="307">
        <f t="shared" si="9"/>
        <v>6.4064000000000005</v>
      </c>
      <c r="G609" s="307">
        <f>G604</f>
        <v>7.04</v>
      </c>
    </row>
    <row r="610" spans="1:7" ht="30" customHeight="1">
      <c r="A610" s="170">
        <v>2696</v>
      </c>
      <c r="B610" s="306" t="s">
        <v>517</v>
      </c>
      <c r="C610" s="307">
        <f t="shared" si="9"/>
        <v>8.6722999999999999</v>
      </c>
      <c r="G610" s="307">
        <f>G605</f>
        <v>9.5299999999999994</v>
      </c>
    </row>
    <row r="611" spans="1:7" ht="30" customHeight="1">
      <c r="A611" s="170">
        <v>122</v>
      </c>
      <c r="B611" s="306" t="s">
        <v>746</v>
      </c>
      <c r="C611" s="307">
        <f t="shared" si="9"/>
        <v>25.898600000000002</v>
      </c>
      <c r="G611" s="307">
        <f>G606</f>
        <v>28.46</v>
      </c>
    </row>
    <row r="612" spans="1:7" ht="30" customHeight="1">
      <c r="A612" s="170">
        <v>20083</v>
      </c>
      <c r="B612" s="306" t="s">
        <v>747</v>
      </c>
      <c r="C612" s="307">
        <f t="shared" si="9"/>
        <v>30.676100000000002</v>
      </c>
      <c r="G612" s="307">
        <f>G608</f>
        <v>33.71</v>
      </c>
    </row>
    <row r="613" spans="1:7" ht="30" customHeight="1">
      <c r="A613" s="170">
        <v>3536</v>
      </c>
      <c r="B613" s="306" t="s">
        <v>782</v>
      </c>
      <c r="C613" s="307">
        <f t="shared" si="9"/>
        <v>0.96460000000000012</v>
      </c>
      <c r="G613" s="307">
        <v>1.06</v>
      </c>
    </row>
    <row r="614" spans="1:7" ht="30" customHeight="1">
      <c r="A614" s="170">
        <v>2696</v>
      </c>
      <c r="B614" s="306" t="s">
        <v>517</v>
      </c>
      <c r="C614" s="307">
        <f t="shared" si="9"/>
        <v>8.6722999999999999</v>
      </c>
      <c r="G614" s="307">
        <f>G610</f>
        <v>9.5299999999999994</v>
      </c>
    </row>
    <row r="615" spans="1:7" ht="30" customHeight="1">
      <c r="A615" s="170">
        <v>6115</v>
      </c>
      <c r="B615" s="306" t="s">
        <v>509</v>
      </c>
      <c r="C615" s="307">
        <f t="shared" si="9"/>
        <v>6.4064000000000005</v>
      </c>
      <c r="G615" s="307">
        <f>G609</f>
        <v>7.04</v>
      </c>
    </row>
    <row r="616" spans="1:7" ht="30" customHeight="1">
      <c r="A616" s="170">
        <v>122</v>
      </c>
      <c r="B616" s="306" t="s">
        <v>746</v>
      </c>
      <c r="C616" s="307">
        <f t="shared" si="9"/>
        <v>25.898600000000002</v>
      </c>
      <c r="G616" s="307">
        <f>G606</f>
        <v>28.46</v>
      </c>
    </row>
    <row r="617" spans="1:7" ht="30" customHeight="1">
      <c r="A617" s="170">
        <v>20083</v>
      </c>
      <c r="B617" s="306" t="s">
        <v>747</v>
      </c>
      <c r="C617" s="307">
        <f t="shared" si="9"/>
        <v>30.676100000000002</v>
      </c>
      <c r="G617" s="307">
        <f>G608</f>
        <v>33.71</v>
      </c>
    </row>
    <row r="618" spans="1:7" ht="30" customHeight="1">
      <c r="A618" s="170">
        <v>3540</v>
      </c>
      <c r="B618" s="306" t="s">
        <v>784</v>
      </c>
      <c r="C618" s="307">
        <f t="shared" si="9"/>
        <v>2.6025999999999998</v>
      </c>
      <c r="G618" s="307">
        <v>2.86</v>
      </c>
    </row>
    <row r="619" spans="1:7" ht="30" customHeight="1">
      <c r="A619" s="170">
        <v>6115</v>
      </c>
      <c r="B619" s="306" t="s">
        <v>509</v>
      </c>
      <c r="C619" s="307">
        <f t="shared" si="9"/>
        <v>6.4064000000000005</v>
      </c>
      <c r="G619" s="307">
        <f>G615</f>
        <v>7.04</v>
      </c>
    </row>
    <row r="620" spans="1:7" ht="30" customHeight="1">
      <c r="A620" s="170">
        <v>2696</v>
      </c>
      <c r="B620" s="306" t="s">
        <v>517</v>
      </c>
      <c r="C620" s="307">
        <f t="shared" si="9"/>
        <v>8.6722999999999999</v>
      </c>
      <c r="G620" s="307">
        <f>G610</f>
        <v>9.5299999999999994</v>
      </c>
    </row>
    <row r="621" spans="1:7" ht="30" customHeight="1">
      <c r="A621" s="170">
        <v>122</v>
      </c>
      <c r="B621" s="306" t="s">
        <v>746</v>
      </c>
      <c r="C621" s="307">
        <f t="shared" si="9"/>
        <v>25.898600000000002</v>
      </c>
      <c r="G621" s="307">
        <f>G611</f>
        <v>28.46</v>
      </c>
    </row>
    <row r="622" spans="1:7" ht="30" customHeight="1">
      <c r="A622" s="170">
        <v>20083</v>
      </c>
      <c r="B622" s="306" t="s">
        <v>747</v>
      </c>
      <c r="C622" s="307">
        <f t="shared" si="9"/>
        <v>30.676100000000002</v>
      </c>
      <c r="G622" s="307">
        <f>G612</f>
        <v>33.71</v>
      </c>
    </row>
    <row r="623" spans="1:7" ht="30" customHeight="1">
      <c r="A623" s="170">
        <v>3511</v>
      </c>
      <c r="B623" s="306" t="s">
        <v>786</v>
      </c>
      <c r="C623" s="307">
        <f t="shared" si="9"/>
        <v>40.831699999999998</v>
      </c>
      <c r="G623" s="307">
        <v>44.87</v>
      </c>
    </row>
    <row r="624" spans="1:7" ht="30" customHeight="1">
      <c r="A624" s="170">
        <v>6115</v>
      </c>
      <c r="B624" s="306" t="s">
        <v>509</v>
      </c>
      <c r="C624" s="307">
        <f t="shared" si="9"/>
        <v>6.4064000000000005</v>
      </c>
      <c r="G624" s="307">
        <f>G615</f>
        <v>7.04</v>
      </c>
    </row>
    <row r="625" spans="1:7" ht="30" customHeight="1">
      <c r="A625" s="170">
        <v>2696</v>
      </c>
      <c r="B625" s="306" t="s">
        <v>517</v>
      </c>
      <c r="C625" s="307">
        <f t="shared" si="9"/>
        <v>8.6722999999999999</v>
      </c>
      <c r="G625" s="307">
        <f>G614</f>
        <v>9.5299999999999994</v>
      </c>
    </row>
    <row r="626" spans="1:7" ht="30" customHeight="1">
      <c r="A626" s="170">
        <v>122</v>
      </c>
      <c r="B626" s="306" t="s">
        <v>746</v>
      </c>
      <c r="C626" s="307">
        <f t="shared" si="9"/>
        <v>25.898600000000002</v>
      </c>
      <c r="G626" s="307">
        <f>G621</f>
        <v>28.46</v>
      </c>
    </row>
    <row r="627" spans="1:7" ht="30" customHeight="1">
      <c r="A627" s="170">
        <v>3513</v>
      </c>
      <c r="B627" s="306" t="s">
        <v>788</v>
      </c>
      <c r="C627" s="307">
        <f t="shared" si="9"/>
        <v>46.027799999999999</v>
      </c>
      <c r="G627" s="307">
        <v>50.58</v>
      </c>
    </row>
    <row r="628" spans="1:7" ht="30" customHeight="1">
      <c r="A628" s="170">
        <v>20083</v>
      </c>
      <c r="B628" s="306" t="s">
        <v>747</v>
      </c>
      <c r="C628" s="307">
        <f t="shared" si="9"/>
        <v>30.676100000000002</v>
      </c>
      <c r="G628" s="307">
        <f>G622</f>
        <v>33.71</v>
      </c>
    </row>
    <row r="629" spans="1:7" ht="30" customHeight="1">
      <c r="A629" s="170">
        <v>2696</v>
      </c>
      <c r="B629" s="306" t="s">
        <v>517</v>
      </c>
      <c r="C629" s="307">
        <f t="shared" si="9"/>
        <v>8.6722999999999999</v>
      </c>
      <c r="G629" s="307">
        <f>G625</f>
        <v>9.5299999999999994</v>
      </c>
    </row>
    <row r="630" spans="1:7" ht="30" customHeight="1">
      <c r="A630" s="170">
        <v>6115</v>
      </c>
      <c r="B630" s="306" t="s">
        <v>509</v>
      </c>
      <c r="C630" s="307">
        <f t="shared" si="9"/>
        <v>6.4064000000000005</v>
      </c>
      <c r="G630" s="307">
        <f>G624</f>
        <v>7.04</v>
      </c>
    </row>
    <row r="631" spans="1:7" ht="30" customHeight="1">
      <c r="A631" s="170">
        <v>122</v>
      </c>
      <c r="B631" s="306" t="s">
        <v>746</v>
      </c>
      <c r="C631" s="307">
        <f t="shared" si="9"/>
        <v>25.898600000000002</v>
      </c>
      <c r="G631" s="307">
        <f>G621</f>
        <v>28.46</v>
      </c>
    </row>
    <row r="632" spans="1:7" ht="30" customHeight="1">
      <c r="A632" s="170">
        <v>20083</v>
      </c>
      <c r="B632" s="306" t="s">
        <v>747</v>
      </c>
      <c r="C632" s="307">
        <f t="shared" si="9"/>
        <v>30.676100000000002</v>
      </c>
      <c r="G632" s="307">
        <f>G628</f>
        <v>33.71</v>
      </c>
    </row>
    <row r="633" spans="1:7" ht="30" customHeight="1">
      <c r="A633" s="170">
        <v>3530</v>
      </c>
      <c r="B633" s="306" t="s">
        <v>790</v>
      </c>
      <c r="C633" s="307">
        <f t="shared" si="9"/>
        <v>107.08880000000001</v>
      </c>
      <c r="G633" s="307">
        <v>117.68</v>
      </c>
    </row>
    <row r="634" spans="1:7" ht="30" customHeight="1">
      <c r="A634" s="170">
        <v>2696</v>
      </c>
      <c r="B634" s="306" t="s">
        <v>517</v>
      </c>
      <c r="C634" s="307">
        <f t="shared" si="9"/>
        <v>8.6722999999999999</v>
      </c>
      <c r="G634" s="307">
        <f>G629</f>
        <v>9.5299999999999994</v>
      </c>
    </row>
    <row r="635" spans="1:7" ht="30" customHeight="1">
      <c r="A635" s="170">
        <v>6115</v>
      </c>
      <c r="B635" s="306" t="s">
        <v>509</v>
      </c>
      <c r="C635" s="307">
        <f t="shared" si="9"/>
        <v>6.4064000000000005</v>
      </c>
      <c r="G635" s="307">
        <f>G630</f>
        <v>7.04</v>
      </c>
    </row>
    <row r="636" spans="1:7" ht="30" customHeight="1">
      <c r="A636" s="170">
        <v>3146</v>
      </c>
      <c r="B636" s="306" t="s">
        <v>716</v>
      </c>
      <c r="C636" s="307">
        <f t="shared" si="9"/>
        <v>1.365</v>
      </c>
      <c r="G636" s="307">
        <v>1.5</v>
      </c>
    </row>
    <row r="637" spans="1:7" ht="30" customHeight="1">
      <c r="A637" s="170">
        <v>20147</v>
      </c>
      <c r="B637" s="306" t="s">
        <v>792</v>
      </c>
      <c r="C637" s="307">
        <f t="shared" si="9"/>
        <v>3.3943000000000003</v>
      </c>
      <c r="G637" s="307">
        <v>3.73</v>
      </c>
    </row>
    <row r="638" spans="1:7" ht="30" customHeight="1">
      <c r="A638" s="170">
        <v>6116</v>
      </c>
      <c r="B638" s="306" t="s">
        <v>516</v>
      </c>
      <c r="C638" s="307">
        <f t="shared" si="9"/>
        <v>7.0798000000000005</v>
      </c>
      <c r="G638" s="307">
        <f>G575</f>
        <v>7.78</v>
      </c>
    </row>
    <row r="639" spans="1:7" ht="30" customHeight="1">
      <c r="A639" s="170">
        <v>2696</v>
      </c>
      <c r="B639" s="306" t="s">
        <v>517</v>
      </c>
      <c r="C639" s="307">
        <f t="shared" si="9"/>
        <v>8.6722999999999999</v>
      </c>
      <c r="G639" s="307">
        <f>G634</f>
        <v>9.5299999999999994</v>
      </c>
    </row>
    <row r="640" spans="1:7" ht="30" customHeight="1">
      <c r="A640" s="170">
        <v>3146</v>
      </c>
      <c r="B640" s="306" t="s">
        <v>716</v>
      </c>
      <c r="C640" s="307">
        <f t="shared" si="9"/>
        <v>1.365</v>
      </c>
      <c r="G640" s="307">
        <f>G636</f>
        <v>1.5</v>
      </c>
    </row>
    <row r="641" spans="1:7" ht="30" customHeight="1">
      <c r="A641" s="170">
        <v>3524</v>
      </c>
      <c r="B641" s="306" t="s">
        <v>794</v>
      </c>
      <c r="C641" s="307">
        <f t="shared" si="9"/>
        <v>3.7856000000000001</v>
      </c>
      <c r="G641" s="307">
        <v>4.16</v>
      </c>
    </row>
    <row r="642" spans="1:7" ht="30" customHeight="1">
      <c r="A642" s="170">
        <v>6116</v>
      </c>
      <c r="B642" s="306" t="s">
        <v>516</v>
      </c>
      <c r="C642" s="307">
        <f t="shared" si="9"/>
        <v>7.0798000000000005</v>
      </c>
      <c r="G642" s="307">
        <f>G638</f>
        <v>7.78</v>
      </c>
    </row>
    <row r="643" spans="1:7" ht="30" customHeight="1">
      <c r="A643" s="170">
        <v>2696</v>
      </c>
      <c r="B643" s="306" t="s">
        <v>517</v>
      </c>
      <c r="C643" s="307">
        <f t="shared" si="9"/>
        <v>8.6722999999999999</v>
      </c>
      <c r="G643" s="307">
        <f>G639</f>
        <v>9.5299999999999994</v>
      </c>
    </row>
    <row r="644" spans="1:7" ht="30" customHeight="1">
      <c r="A644" s="170">
        <v>9868</v>
      </c>
      <c r="B644" s="306" t="s">
        <v>568</v>
      </c>
      <c r="C644" s="307">
        <f t="shared" si="9"/>
        <v>1.8836999999999999</v>
      </c>
      <c r="G644" s="307">
        <v>2.0699999999999998</v>
      </c>
    </row>
    <row r="645" spans="1:7" ht="30" customHeight="1">
      <c r="A645" s="170">
        <v>20083</v>
      </c>
      <c r="B645" s="306" t="s">
        <v>747</v>
      </c>
      <c r="C645" s="307">
        <f t="shared" si="9"/>
        <v>30.676100000000002</v>
      </c>
      <c r="G645" s="307">
        <f>G632</f>
        <v>33.71</v>
      </c>
    </row>
    <row r="646" spans="1:7" ht="30" customHeight="1">
      <c r="A646" s="170">
        <v>122</v>
      </c>
      <c r="B646" s="306" t="s">
        <v>746</v>
      </c>
      <c r="C646" s="307">
        <f t="shared" si="9"/>
        <v>25.898600000000002</v>
      </c>
      <c r="G646" s="307">
        <f>G631</f>
        <v>28.46</v>
      </c>
    </row>
    <row r="647" spans="1:7" ht="30" customHeight="1">
      <c r="A647" s="170">
        <v>6116</v>
      </c>
      <c r="B647" s="306" t="s">
        <v>796</v>
      </c>
      <c r="C647" s="307">
        <f t="shared" si="9"/>
        <v>7.0798000000000005</v>
      </c>
      <c r="G647" s="307">
        <f>G638</f>
        <v>7.78</v>
      </c>
    </row>
    <row r="648" spans="1:7" ht="30" customHeight="1">
      <c r="A648" s="170">
        <v>2696</v>
      </c>
      <c r="B648" s="306" t="s">
        <v>517</v>
      </c>
      <c r="C648" s="307">
        <f t="shared" si="9"/>
        <v>8.6722999999999999</v>
      </c>
      <c r="G648" s="307">
        <f>G639</f>
        <v>9.5299999999999994</v>
      </c>
    </row>
    <row r="649" spans="1:7" ht="30" customHeight="1">
      <c r="A649" s="170">
        <v>20083</v>
      </c>
      <c r="B649" s="306" t="s">
        <v>747</v>
      </c>
      <c r="C649" s="307">
        <f t="shared" si="9"/>
        <v>30.676100000000002</v>
      </c>
      <c r="G649" s="307">
        <f>G645</f>
        <v>33.71</v>
      </c>
    </row>
    <row r="650" spans="1:7" ht="30" customHeight="1">
      <c r="A650" s="170">
        <v>122</v>
      </c>
      <c r="B650" s="306" t="s">
        <v>746</v>
      </c>
      <c r="C650" s="307">
        <f t="shared" ref="C650:C713" si="10">G650*0.91</f>
        <v>25.898600000000002</v>
      </c>
      <c r="G650" s="307">
        <f>G646</f>
        <v>28.46</v>
      </c>
    </row>
    <row r="651" spans="1:7" ht="30" customHeight="1">
      <c r="A651" s="170">
        <v>9869</v>
      </c>
      <c r="B651" s="306" t="s">
        <v>798</v>
      </c>
      <c r="C651" s="307">
        <f t="shared" si="10"/>
        <v>4.2861000000000002</v>
      </c>
      <c r="G651" s="307">
        <v>4.71</v>
      </c>
    </row>
    <row r="652" spans="1:7" ht="30" customHeight="1">
      <c r="A652" s="170">
        <v>6116</v>
      </c>
      <c r="B652" s="306" t="s">
        <v>796</v>
      </c>
      <c r="C652" s="307">
        <f t="shared" si="10"/>
        <v>7.0798000000000005</v>
      </c>
      <c r="G652" s="307">
        <f>G647</f>
        <v>7.78</v>
      </c>
    </row>
    <row r="653" spans="1:7" ht="30" customHeight="1">
      <c r="A653" s="170">
        <v>2696</v>
      </c>
      <c r="B653" s="306" t="s">
        <v>517</v>
      </c>
      <c r="C653" s="307">
        <f t="shared" si="10"/>
        <v>8.6722999999999999</v>
      </c>
      <c r="G653" s="307">
        <f>G648</f>
        <v>9.5299999999999994</v>
      </c>
    </row>
    <row r="654" spans="1:7" ht="30" customHeight="1">
      <c r="A654" s="170">
        <v>20083</v>
      </c>
      <c r="B654" s="306" t="s">
        <v>747</v>
      </c>
      <c r="C654" s="307">
        <f t="shared" si="10"/>
        <v>30.676100000000002</v>
      </c>
      <c r="G654" s="307">
        <f>G645</f>
        <v>33.71</v>
      </c>
    </row>
    <row r="655" spans="1:7" ht="30" customHeight="1">
      <c r="A655" s="170">
        <v>122</v>
      </c>
      <c r="B655" s="306" t="s">
        <v>746</v>
      </c>
      <c r="C655" s="307">
        <f t="shared" si="10"/>
        <v>25.898600000000002</v>
      </c>
      <c r="G655" s="307">
        <f>G646</f>
        <v>28.46</v>
      </c>
    </row>
    <row r="656" spans="1:7" ht="30" customHeight="1">
      <c r="A656" s="170">
        <v>9874</v>
      </c>
      <c r="B656" s="306" t="s">
        <v>800</v>
      </c>
      <c r="C656" s="307">
        <f t="shared" si="10"/>
        <v>5.8331</v>
      </c>
      <c r="G656" s="307">
        <v>6.41</v>
      </c>
    </row>
    <row r="657" spans="1:7" ht="30" customHeight="1">
      <c r="A657" s="170">
        <v>6116</v>
      </c>
      <c r="B657" s="306" t="s">
        <v>796</v>
      </c>
      <c r="C657" s="307">
        <f t="shared" si="10"/>
        <v>7.0798000000000005</v>
      </c>
      <c r="G657" s="307">
        <f>G652</f>
        <v>7.78</v>
      </c>
    </row>
    <row r="658" spans="1:7" ht="30" customHeight="1">
      <c r="A658" s="170">
        <v>2696</v>
      </c>
      <c r="B658" s="306" t="s">
        <v>517</v>
      </c>
      <c r="C658" s="307">
        <f t="shared" si="10"/>
        <v>8.6722999999999999</v>
      </c>
      <c r="G658" s="307">
        <f>G648</f>
        <v>9.5299999999999994</v>
      </c>
    </row>
    <row r="659" spans="1:7" ht="30" customHeight="1">
      <c r="A659" s="170">
        <v>20083</v>
      </c>
      <c r="B659" s="306" t="s">
        <v>747</v>
      </c>
      <c r="C659" s="307">
        <f t="shared" si="10"/>
        <v>30.676100000000002</v>
      </c>
      <c r="G659" s="307">
        <f>G654</f>
        <v>33.71</v>
      </c>
    </row>
    <row r="660" spans="1:7" ht="30" customHeight="1">
      <c r="A660" s="170">
        <v>9875</v>
      </c>
      <c r="B660" s="306" t="s">
        <v>802</v>
      </c>
      <c r="C660" s="307">
        <f t="shared" si="10"/>
        <v>6.8523000000000005</v>
      </c>
      <c r="G660" s="307">
        <v>7.53</v>
      </c>
    </row>
    <row r="661" spans="1:7" ht="30" customHeight="1">
      <c r="A661" s="170">
        <v>122</v>
      </c>
      <c r="B661" s="306" t="s">
        <v>746</v>
      </c>
      <c r="C661" s="307">
        <f t="shared" si="10"/>
        <v>25.898600000000002</v>
      </c>
      <c r="G661" s="307">
        <f>G655</f>
        <v>28.46</v>
      </c>
    </row>
    <row r="662" spans="1:7" ht="30" customHeight="1">
      <c r="A662" s="170">
        <v>6116</v>
      </c>
      <c r="B662" s="306" t="s">
        <v>796</v>
      </c>
      <c r="C662" s="307">
        <f t="shared" si="10"/>
        <v>7.0798000000000005</v>
      </c>
      <c r="G662" s="307">
        <f>G657</f>
        <v>7.78</v>
      </c>
    </row>
    <row r="663" spans="1:7" ht="30" customHeight="1">
      <c r="A663" s="170">
        <v>2696</v>
      </c>
      <c r="B663" s="306" t="s">
        <v>517</v>
      </c>
      <c r="C663" s="307">
        <f t="shared" si="10"/>
        <v>8.6722999999999999</v>
      </c>
      <c r="G663" s="307">
        <f>G658</f>
        <v>9.5299999999999994</v>
      </c>
    </row>
    <row r="664" spans="1:7" ht="30" customHeight="1">
      <c r="A664" s="170">
        <v>20083</v>
      </c>
      <c r="B664" s="306" t="s">
        <v>747</v>
      </c>
      <c r="C664" s="307">
        <f t="shared" si="10"/>
        <v>30.676100000000002</v>
      </c>
      <c r="G664" s="307">
        <f>G659</f>
        <v>33.71</v>
      </c>
    </row>
    <row r="665" spans="1:7" ht="30" customHeight="1">
      <c r="A665" s="170">
        <v>122</v>
      </c>
      <c r="B665" s="306" t="s">
        <v>746</v>
      </c>
      <c r="C665" s="307">
        <f t="shared" si="10"/>
        <v>25.898600000000002</v>
      </c>
      <c r="G665" s="307">
        <f>G655</f>
        <v>28.46</v>
      </c>
    </row>
    <row r="666" spans="1:7" ht="30" customHeight="1">
      <c r="A666" s="170">
        <v>9873</v>
      </c>
      <c r="B666" s="306" t="s">
        <v>804</v>
      </c>
      <c r="C666" s="307">
        <f t="shared" si="10"/>
        <v>12.7309</v>
      </c>
      <c r="G666" s="307">
        <v>13.99</v>
      </c>
    </row>
    <row r="667" spans="1:7" ht="30" customHeight="1">
      <c r="A667" s="170">
        <v>6116</v>
      </c>
      <c r="B667" s="306" t="s">
        <v>796</v>
      </c>
      <c r="C667" s="307">
        <f t="shared" si="10"/>
        <v>7.0798000000000005</v>
      </c>
      <c r="G667" s="307">
        <f>G662</f>
        <v>7.78</v>
      </c>
    </row>
    <row r="668" spans="1:7" ht="30" customHeight="1">
      <c r="A668" s="170">
        <v>2696</v>
      </c>
      <c r="B668" s="306" t="s">
        <v>517</v>
      </c>
      <c r="C668" s="307">
        <f t="shared" si="10"/>
        <v>8.6722999999999999</v>
      </c>
      <c r="G668" s="307">
        <f>G663</f>
        <v>9.5299999999999994</v>
      </c>
    </row>
    <row r="669" spans="1:7" ht="30" customHeight="1">
      <c r="A669" s="170">
        <v>20083</v>
      </c>
      <c r="B669" s="306" t="s">
        <v>747</v>
      </c>
      <c r="C669" s="307">
        <f t="shared" si="10"/>
        <v>30.676100000000002</v>
      </c>
      <c r="G669" s="307">
        <f>G664</f>
        <v>33.71</v>
      </c>
    </row>
    <row r="670" spans="1:7" ht="30" customHeight="1">
      <c r="A670" s="170">
        <v>122</v>
      </c>
      <c r="B670" s="306" t="s">
        <v>746</v>
      </c>
      <c r="C670" s="307">
        <f t="shared" si="10"/>
        <v>25.898600000000002</v>
      </c>
      <c r="G670" s="307">
        <f>G655</f>
        <v>28.46</v>
      </c>
    </row>
    <row r="671" spans="1:7" ht="30" customHeight="1">
      <c r="A671" s="170">
        <v>9871</v>
      </c>
      <c r="B671" s="306" t="s">
        <v>806</v>
      </c>
      <c r="C671" s="307">
        <f t="shared" si="10"/>
        <v>19.510400000000001</v>
      </c>
      <c r="G671" s="307">
        <v>21.44</v>
      </c>
    </row>
    <row r="672" spans="1:7" ht="30" customHeight="1">
      <c r="A672" s="170">
        <v>248</v>
      </c>
      <c r="B672" s="306" t="s">
        <v>807</v>
      </c>
      <c r="C672" s="307">
        <f t="shared" si="10"/>
        <v>9.4002999999999997</v>
      </c>
      <c r="G672" s="307">
        <v>10.33</v>
      </c>
    </row>
    <row r="673" spans="1:7" ht="30" customHeight="1">
      <c r="A673" s="170">
        <v>2696</v>
      </c>
      <c r="B673" s="306" t="s">
        <v>517</v>
      </c>
      <c r="C673" s="307">
        <f t="shared" si="10"/>
        <v>8.6722999999999999</v>
      </c>
      <c r="G673" s="307">
        <f>G663</f>
        <v>9.5299999999999994</v>
      </c>
    </row>
    <row r="674" spans="1:7" ht="30" customHeight="1">
      <c r="A674" s="170">
        <v>20083</v>
      </c>
      <c r="B674" s="306" t="s">
        <v>747</v>
      </c>
      <c r="C674" s="307">
        <f t="shared" si="10"/>
        <v>30.676100000000002</v>
      </c>
      <c r="G674" s="307">
        <f>G669</f>
        <v>33.71</v>
      </c>
    </row>
    <row r="675" spans="1:7" ht="30" customHeight="1">
      <c r="A675" s="170">
        <v>122</v>
      </c>
      <c r="B675" s="306" t="s">
        <v>746</v>
      </c>
      <c r="C675" s="307">
        <f t="shared" si="10"/>
        <v>25.898600000000002</v>
      </c>
      <c r="G675" s="307">
        <f>G670</f>
        <v>28.46</v>
      </c>
    </row>
    <row r="676" spans="1:7" ht="30" customHeight="1">
      <c r="A676" s="170">
        <v>9872</v>
      </c>
      <c r="B676" s="306" t="s">
        <v>809</v>
      </c>
      <c r="C676" s="307">
        <f t="shared" si="10"/>
        <v>26.271700000000003</v>
      </c>
      <c r="G676" s="307">
        <v>28.87</v>
      </c>
    </row>
    <row r="677" spans="1:7" ht="30" customHeight="1">
      <c r="A677" s="170">
        <v>6116</v>
      </c>
      <c r="B677" s="306" t="s">
        <v>796</v>
      </c>
      <c r="C677" s="307">
        <f t="shared" si="10"/>
        <v>7.0798000000000005</v>
      </c>
      <c r="G677" s="307">
        <f>G667</f>
        <v>7.78</v>
      </c>
    </row>
    <row r="678" spans="1:7" ht="30" customHeight="1">
      <c r="A678" s="170">
        <v>2696</v>
      </c>
      <c r="B678" s="306" t="s">
        <v>517</v>
      </c>
      <c r="C678" s="307">
        <f t="shared" si="10"/>
        <v>8.6722999999999999</v>
      </c>
      <c r="G678" s="307">
        <f>G673</f>
        <v>9.5299999999999994</v>
      </c>
    </row>
    <row r="679" spans="1:7" ht="30" customHeight="1">
      <c r="A679" s="170">
        <v>20083</v>
      </c>
      <c r="B679" s="306" t="s">
        <v>747</v>
      </c>
      <c r="C679" s="307">
        <f t="shared" si="10"/>
        <v>30.676100000000002</v>
      </c>
      <c r="G679" s="307">
        <f>G674</f>
        <v>33.71</v>
      </c>
    </row>
    <row r="680" spans="1:7" ht="30" customHeight="1">
      <c r="A680" s="170">
        <v>122</v>
      </c>
      <c r="B680" s="306" t="s">
        <v>746</v>
      </c>
      <c r="C680" s="307">
        <f t="shared" si="10"/>
        <v>25.898600000000002</v>
      </c>
      <c r="G680" s="307">
        <f>G675</f>
        <v>28.46</v>
      </c>
    </row>
    <row r="681" spans="1:7" ht="30" customHeight="1">
      <c r="A681" s="170">
        <v>9870</v>
      </c>
      <c r="B681" s="306" t="s">
        <v>811</v>
      </c>
      <c r="C681" s="307">
        <f t="shared" si="10"/>
        <v>40.049100000000003</v>
      </c>
      <c r="G681" s="307">
        <v>44.01</v>
      </c>
    </row>
    <row r="682" spans="1:7" ht="30" customHeight="1">
      <c r="A682" s="170">
        <v>246</v>
      </c>
      <c r="B682" s="306" t="s">
        <v>704</v>
      </c>
      <c r="C682" s="307">
        <f t="shared" si="10"/>
        <v>6.4792000000000005</v>
      </c>
      <c r="G682" s="307">
        <f>G444</f>
        <v>7.12</v>
      </c>
    </row>
    <row r="683" spans="1:7" ht="30" customHeight="1">
      <c r="A683" s="170">
        <v>2696</v>
      </c>
      <c r="B683" s="306" t="s">
        <v>517</v>
      </c>
      <c r="C683" s="307">
        <f t="shared" si="10"/>
        <v>8.6722999999999999</v>
      </c>
      <c r="G683" s="307">
        <f>G678</f>
        <v>9.5299999999999994</v>
      </c>
    </row>
    <row r="684" spans="1:7" ht="30" customHeight="1">
      <c r="A684" s="170">
        <v>122</v>
      </c>
      <c r="B684" s="306" t="s">
        <v>746</v>
      </c>
      <c r="C684" s="307">
        <f t="shared" si="10"/>
        <v>25.898600000000002</v>
      </c>
      <c r="G684" s="307">
        <f>G680</f>
        <v>28.46</v>
      </c>
    </row>
    <row r="685" spans="1:7" ht="30" customHeight="1">
      <c r="A685" s="170">
        <v>7139</v>
      </c>
      <c r="B685" s="306" t="s">
        <v>813</v>
      </c>
      <c r="C685" s="307">
        <f t="shared" si="10"/>
        <v>0.7098000000000001</v>
      </c>
      <c r="G685" s="307">
        <v>0.78</v>
      </c>
    </row>
    <row r="686" spans="1:7" ht="30" customHeight="1">
      <c r="A686" s="170">
        <v>20083</v>
      </c>
      <c r="B686" s="306" t="s">
        <v>747</v>
      </c>
      <c r="C686" s="307">
        <f t="shared" si="10"/>
        <v>30.676100000000002</v>
      </c>
      <c r="G686" s="307">
        <f>G679</f>
        <v>33.71</v>
      </c>
    </row>
    <row r="687" spans="1:7" ht="30" customHeight="1">
      <c r="A687" s="170">
        <v>2696</v>
      </c>
      <c r="B687" s="306" t="s">
        <v>517</v>
      </c>
      <c r="C687" s="307">
        <f t="shared" si="10"/>
        <v>8.6722999999999999</v>
      </c>
      <c r="G687" s="307">
        <f>G683</f>
        <v>9.5299999999999994</v>
      </c>
    </row>
    <row r="688" spans="1:7" ht="30" customHeight="1">
      <c r="A688" s="170">
        <v>6115</v>
      </c>
      <c r="B688" s="306" t="s">
        <v>509</v>
      </c>
      <c r="C688" s="307">
        <f t="shared" si="10"/>
        <v>6.4064000000000005</v>
      </c>
      <c r="G688" s="307">
        <f>G635</f>
        <v>7.04</v>
      </c>
    </row>
    <row r="689" spans="1:7" ht="30" customHeight="1">
      <c r="A689" s="170">
        <v>122</v>
      </c>
      <c r="B689" s="306" t="s">
        <v>746</v>
      </c>
      <c r="C689" s="307">
        <f t="shared" si="10"/>
        <v>25.898600000000002</v>
      </c>
      <c r="G689" s="307">
        <f>G684</f>
        <v>28.46</v>
      </c>
    </row>
    <row r="690" spans="1:7" ht="30" customHeight="1">
      <c r="A690" s="170">
        <v>20083</v>
      </c>
      <c r="B690" s="306" t="s">
        <v>747</v>
      </c>
      <c r="C690" s="307">
        <f t="shared" si="10"/>
        <v>30.676100000000002</v>
      </c>
      <c r="G690" s="307">
        <f>G686</f>
        <v>33.71</v>
      </c>
    </row>
    <row r="691" spans="1:7" ht="30" customHeight="1">
      <c r="A691" s="170">
        <v>7140</v>
      </c>
      <c r="B691" s="306" t="s">
        <v>815</v>
      </c>
      <c r="C691" s="307">
        <f t="shared" si="10"/>
        <v>2.1385000000000001</v>
      </c>
      <c r="G691" s="307">
        <v>2.35</v>
      </c>
    </row>
    <row r="692" spans="1:7" ht="30" customHeight="1">
      <c r="A692" s="170">
        <v>2696</v>
      </c>
      <c r="B692" s="306" t="s">
        <v>517</v>
      </c>
      <c r="C692" s="307">
        <f t="shared" si="10"/>
        <v>8.6722999999999999</v>
      </c>
      <c r="G692" s="307">
        <f>G687</f>
        <v>9.5299999999999994</v>
      </c>
    </row>
    <row r="693" spans="1:7" ht="30" customHeight="1">
      <c r="A693" s="170">
        <v>6115</v>
      </c>
      <c r="B693" s="306" t="s">
        <v>509</v>
      </c>
      <c r="C693" s="307">
        <f t="shared" si="10"/>
        <v>6.4064000000000005</v>
      </c>
      <c r="G693" s="307">
        <f>G688</f>
        <v>7.04</v>
      </c>
    </row>
    <row r="694" spans="1:7" ht="30" customHeight="1">
      <c r="A694" s="170">
        <v>122</v>
      </c>
      <c r="B694" s="306" t="s">
        <v>746</v>
      </c>
      <c r="C694" s="307">
        <f t="shared" si="10"/>
        <v>25.898600000000002</v>
      </c>
      <c r="G694" s="307">
        <f>G689</f>
        <v>28.46</v>
      </c>
    </row>
    <row r="695" spans="1:7" ht="30" customHeight="1">
      <c r="A695" s="170">
        <v>20083</v>
      </c>
      <c r="B695" s="306" t="s">
        <v>747</v>
      </c>
      <c r="C695" s="307">
        <f t="shared" si="10"/>
        <v>30.676100000000002</v>
      </c>
      <c r="G695" s="307">
        <f>G690</f>
        <v>33.71</v>
      </c>
    </row>
    <row r="696" spans="1:7" ht="30" customHeight="1">
      <c r="A696" s="170">
        <v>7141</v>
      </c>
      <c r="B696" s="306" t="s">
        <v>817</v>
      </c>
      <c r="C696" s="307">
        <f t="shared" si="10"/>
        <v>5.4782000000000002</v>
      </c>
      <c r="G696" s="307">
        <v>6.02</v>
      </c>
    </row>
    <row r="697" spans="1:7" ht="30" customHeight="1">
      <c r="A697" s="170">
        <v>2696</v>
      </c>
      <c r="B697" s="306" t="s">
        <v>517</v>
      </c>
      <c r="C697" s="307">
        <f t="shared" si="10"/>
        <v>8.6722999999999999</v>
      </c>
      <c r="G697" s="307">
        <f>G692</f>
        <v>9.5299999999999994</v>
      </c>
    </row>
    <row r="698" spans="1:7" ht="30" customHeight="1">
      <c r="A698" s="170">
        <v>6115</v>
      </c>
      <c r="B698" s="306" t="s">
        <v>509</v>
      </c>
      <c r="C698" s="307">
        <f t="shared" si="10"/>
        <v>6.4064000000000005</v>
      </c>
      <c r="G698" s="307">
        <f>G693</f>
        <v>7.04</v>
      </c>
    </row>
    <row r="699" spans="1:7" ht="30" customHeight="1">
      <c r="A699" s="170">
        <v>122</v>
      </c>
      <c r="B699" s="306" t="s">
        <v>746</v>
      </c>
      <c r="C699" s="307">
        <f t="shared" si="10"/>
        <v>25.898600000000002</v>
      </c>
      <c r="G699" s="307">
        <f>G694</f>
        <v>28.46</v>
      </c>
    </row>
    <row r="700" spans="1:7" ht="30" customHeight="1">
      <c r="A700" s="170">
        <v>20083</v>
      </c>
      <c r="B700" s="306" t="s">
        <v>747</v>
      </c>
      <c r="C700" s="307">
        <f t="shared" si="10"/>
        <v>30.676100000000002</v>
      </c>
      <c r="G700" s="307">
        <f>G695</f>
        <v>33.71</v>
      </c>
    </row>
    <row r="701" spans="1:7" ht="30" customHeight="1">
      <c r="A701" s="170">
        <v>7142</v>
      </c>
      <c r="B701" s="306" t="s">
        <v>819</v>
      </c>
      <c r="C701" s="307">
        <f t="shared" si="10"/>
        <v>5.7148000000000003</v>
      </c>
      <c r="G701" s="307">
        <v>6.28</v>
      </c>
    </row>
    <row r="702" spans="1:7" ht="30" customHeight="1">
      <c r="A702" s="170">
        <v>2696</v>
      </c>
      <c r="B702" s="306" t="s">
        <v>517</v>
      </c>
      <c r="C702" s="307">
        <f t="shared" si="10"/>
        <v>8.6722999999999999</v>
      </c>
      <c r="G702" s="307">
        <f>G697</f>
        <v>9.5299999999999994</v>
      </c>
    </row>
    <row r="703" spans="1:7" ht="30" customHeight="1">
      <c r="A703" s="170">
        <v>6115</v>
      </c>
      <c r="B703" s="306" t="s">
        <v>509</v>
      </c>
      <c r="C703" s="307">
        <f t="shared" si="10"/>
        <v>6.4064000000000005</v>
      </c>
      <c r="G703" s="307">
        <f>G698</f>
        <v>7.04</v>
      </c>
    </row>
    <row r="704" spans="1:7" ht="30" customHeight="1">
      <c r="A704" s="170">
        <v>122</v>
      </c>
      <c r="B704" s="306" t="s">
        <v>746</v>
      </c>
      <c r="C704" s="307">
        <f t="shared" si="10"/>
        <v>25.898600000000002</v>
      </c>
      <c r="G704" s="307">
        <f>G699</f>
        <v>28.46</v>
      </c>
    </row>
    <row r="705" spans="1:7" ht="30" customHeight="1">
      <c r="A705" s="170">
        <v>20083</v>
      </c>
      <c r="B705" s="306" t="s">
        <v>747</v>
      </c>
      <c r="C705" s="307">
        <f t="shared" si="10"/>
        <v>30.676100000000002</v>
      </c>
      <c r="G705" s="307">
        <f>G700</f>
        <v>33.71</v>
      </c>
    </row>
    <row r="706" spans="1:7" ht="30" customHeight="1">
      <c r="A706" s="170">
        <v>7143</v>
      </c>
      <c r="B706" s="306" t="s">
        <v>821</v>
      </c>
      <c r="C706" s="307">
        <f t="shared" si="10"/>
        <v>21.894600000000001</v>
      </c>
      <c r="G706" s="307">
        <v>24.06</v>
      </c>
    </row>
    <row r="707" spans="1:7" ht="30" customHeight="1">
      <c r="A707" s="170">
        <v>6115</v>
      </c>
      <c r="B707" s="306" t="s">
        <v>509</v>
      </c>
      <c r="C707" s="307">
        <f t="shared" si="10"/>
        <v>6.4064000000000005</v>
      </c>
      <c r="G707" s="307">
        <f>G703</f>
        <v>7.04</v>
      </c>
    </row>
    <row r="708" spans="1:7" ht="30" customHeight="1">
      <c r="A708" s="170">
        <v>2696</v>
      </c>
      <c r="B708" s="306" t="s">
        <v>517</v>
      </c>
      <c r="C708" s="307">
        <f t="shared" si="10"/>
        <v>8.6722999999999999</v>
      </c>
      <c r="G708" s="307">
        <f>G702</f>
        <v>9.5299999999999994</v>
      </c>
    </row>
    <row r="709" spans="1:7" ht="30" customHeight="1">
      <c r="A709" s="170">
        <v>122</v>
      </c>
      <c r="B709" s="306" t="s">
        <v>746</v>
      </c>
      <c r="C709" s="307">
        <f t="shared" si="10"/>
        <v>25.898600000000002</v>
      </c>
      <c r="G709" s="307">
        <f>G704</f>
        <v>28.46</v>
      </c>
    </row>
    <row r="710" spans="1:7" ht="30" customHeight="1">
      <c r="A710" s="170">
        <v>20083</v>
      </c>
      <c r="B710" s="306" t="s">
        <v>747</v>
      </c>
      <c r="C710" s="307">
        <f t="shared" si="10"/>
        <v>30.676100000000002</v>
      </c>
      <c r="G710" s="307">
        <f>G705</f>
        <v>33.71</v>
      </c>
    </row>
    <row r="711" spans="1:7" ht="30" customHeight="1">
      <c r="A711" s="170">
        <v>7144</v>
      </c>
      <c r="B711" s="306" t="s">
        <v>823</v>
      </c>
      <c r="C711" s="307">
        <f t="shared" si="10"/>
        <v>36.172499999999999</v>
      </c>
      <c r="G711" s="307">
        <v>39.75</v>
      </c>
    </row>
    <row r="712" spans="1:7" ht="30" customHeight="1">
      <c r="A712" s="170">
        <v>2696</v>
      </c>
      <c r="B712" s="306" t="s">
        <v>517</v>
      </c>
      <c r="C712" s="307">
        <f t="shared" si="10"/>
        <v>8.6722999999999999</v>
      </c>
      <c r="G712" s="307">
        <f>G708</f>
        <v>9.5299999999999994</v>
      </c>
    </row>
    <row r="713" spans="1:7" ht="30" customHeight="1">
      <c r="A713" s="170">
        <v>6115</v>
      </c>
      <c r="B713" s="306" t="s">
        <v>509</v>
      </c>
      <c r="C713" s="307">
        <f t="shared" si="10"/>
        <v>6.4064000000000005</v>
      </c>
      <c r="G713" s="307">
        <f>G707</f>
        <v>7.04</v>
      </c>
    </row>
    <row r="714" spans="1:7" ht="30" customHeight="1">
      <c r="A714" s="170">
        <v>2696</v>
      </c>
      <c r="B714" s="306" t="s">
        <v>517</v>
      </c>
      <c r="C714" s="307">
        <f t="shared" ref="C714:C777" si="11">G714*0.91</f>
        <v>8.6722999999999999</v>
      </c>
      <c r="G714" s="307">
        <f>G712</f>
        <v>9.5299999999999994</v>
      </c>
    </row>
    <row r="715" spans="1:7" ht="30" customHeight="1">
      <c r="A715" s="170">
        <v>6115</v>
      </c>
      <c r="B715" s="306" t="s">
        <v>509</v>
      </c>
      <c r="C715" s="307">
        <f t="shared" si="11"/>
        <v>6.4064000000000005</v>
      </c>
      <c r="G715" s="307">
        <f>G713</f>
        <v>7.04</v>
      </c>
    </row>
    <row r="716" spans="1:7" ht="30" customHeight="1">
      <c r="A716" s="170">
        <v>122</v>
      </c>
      <c r="B716" s="306" t="s">
        <v>746</v>
      </c>
      <c r="C716" s="307">
        <f t="shared" si="11"/>
        <v>25.898600000000002</v>
      </c>
      <c r="G716" s="307">
        <f>G709</f>
        <v>28.46</v>
      </c>
    </row>
    <row r="717" spans="1:7" ht="30" customHeight="1">
      <c r="A717" s="170">
        <v>20083</v>
      </c>
      <c r="B717" s="306" t="s">
        <v>747</v>
      </c>
      <c r="C717" s="307">
        <f t="shared" si="11"/>
        <v>30.676100000000002</v>
      </c>
      <c r="G717" s="307">
        <f>G710</f>
        <v>33.71</v>
      </c>
    </row>
    <row r="718" spans="1:7" ht="30" customHeight="1">
      <c r="A718" s="170">
        <v>7145</v>
      </c>
      <c r="B718" s="306" t="s">
        <v>825</v>
      </c>
      <c r="C718" s="307">
        <f t="shared" si="11"/>
        <v>49.886200000000002</v>
      </c>
      <c r="G718" s="307">
        <v>54.82</v>
      </c>
    </row>
    <row r="719" spans="1:7" ht="30" customHeight="1">
      <c r="A719" s="170">
        <v>7146</v>
      </c>
      <c r="B719" s="306" t="s">
        <v>827</v>
      </c>
      <c r="C719" s="307">
        <f t="shared" si="11"/>
        <v>103.10299999999999</v>
      </c>
      <c r="G719" s="307">
        <v>113.3</v>
      </c>
    </row>
    <row r="720" spans="1:7" ht="30" customHeight="1">
      <c r="A720" s="170">
        <v>122</v>
      </c>
      <c r="B720" s="306" t="s">
        <v>746</v>
      </c>
      <c r="C720" s="307">
        <f t="shared" si="11"/>
        <v>25.898600000000002</v>
      </c>
      <c r="G720" s="307">
        <f>G716</f>
        <v>28.46</v>
      </c>
    </row>
    <row r="721" spans="1:7" ht="30" customHeight="1">
      <c r="A721" s="170">
        <v>20083</v>
      </c>
      <c r="B721" s="306" t="s">
        <v>747</v>
      </c>
      <c r="C721" s="307">
        <f t="shared" si="11"/>
        <v>30.676100000000002</v>
      </c>
      <c r="G721" s="307">
        <f>G710</f>
        <v>33.71</v>
      </c>
    </row>
    <row r="722" spans="1:7" ht="30" customHeight="1">
      <c r="A722" s="170">
        <v>6115</v>
      </c>
      <c r="B722" s="306" t="s">
        <v>509</v>
      </c>
      <c r="C722" s="307">
        <f t="shared" si="11"/>
        <v>6.4064000000000005</v>
      </c>
      <c r="G722" s="307">
        <f>G713</f>
        <v>7.04</v>
      </c>
    </row>
    <row r="723" spans="1:7" ht="30" customHeight="1">
      <c r="A723" s="170">
        <v>2696</v>
      </c>
      <c r="B723" s="306" t="s">
        <v>517</v>
      </c>
      <c r="C723" s="307">
        <f t="shared" si="11"/>
        <v>8.6722999999999999</v>
      </c>
      <c r="G723" s="307">
        <f>G712</f>
        <v>9.5299999999999994</v>
      </c>
    </row>
    <row r="724" spans="1:7" ht="30" customHeight="1">
      <c r="A724" s="170">
        <v>7136</v>
      </c>
      <c r="B724" s="306" t="s">
        <v>829</v>
      </c>
      <c r="C724" s="307">
        <f t="shared" si="11"/>
        <v>3.6673000000000004</v>
      </c>
      <c r="G724" s="307">
        <v>4.03</v>
      </c>
    </row>
    <row r="725" spans="1:7" ht="30" customHeight="1">
      <c r="A725" s="170">
        <v>122</v>
      </c>
      <c r="B725" s="306" t="s">
        <v>746</v>
      </c>
      <c r="C725" s="307">
        <f t="shared" si="11"/>
        <v>25.898600000000002</v>
      </c>
      <c r="G725" s="307">
        <f>G716</f>
        <v>28.46</v>
      </c>
    </row>
    <row r="726" spans="1:7" ht="30" customHeight="1">
      <c r="A726" s="170">
        <v>20083</v>
      </c>
      <c r="B726" s="306" t="s">
        <v>747</v>
      </c>
      <c r="C726" s="307">
        <f t="shared" si="11"/>
        <v>30.676100000000002</v>
      </c>
      <c r="G726" s="307">
        <f>G717</f>
        <v>33.71</v>
      </c>
    </row>
    <row r="727" spans="1:7" ht="30" customHeight="1">
      <c r="A727" s="170">
        <v>2696</v>
      </c>
      <c r="B727" s="306" t="s">
        <v>517</v>
      </c>
      <c r="C727" s="307">
        <f t="shared" si="11"/>
        <v>8.6722999999999999</v>
      </c>
      <c r="G727" s="307">
        <f>G723</f>
        <v>9.5299999999999994</v>
      </c>
    </row>
    <row r="728" spans="1:7" ht="30" customHeight="1">
      <c r="A728" s="170">
        <v>6115</v>
      </c>
      <c r="B728" s="306" t="s">
        <v>775</v>
      </c>
      <c r="C728" s="307">
        <f t="shared" si="11"/>
        <v>6.4064000000000005</v>
      </c>
      <c r="G728" s="307">
        <f>G722</f>
        <v>7.04</v>
      </c>
    </row>
    <row r="729" spans="1:7" ht="30" customHeight="1">
      <c r="A729" s="170">
        <v>7128</v>
      </c>
      <c r="B729" s="306" t="s">
        <v>831</v>
      </c>
      <c r="C729" s="307">
        <f t="shared" si="11"/>
        <v>5.0960000000000001</v>
      </c>
      <c r="G729" s="307">
        <v>5.6</v>
      </c>
    </row>
    <row r="730" spans="1:7" ht="30" customHeight="1">
      <c r="A730" s="170">
        <v>122</v>
      </c>
      <c r="B730" s="306" t="s">
        <v>746</v>
      </c>
      <c r="C730" s="307">
        <f t="shared" si="11"/>
        <v>25.898600000000002</v>
      </c>
      <c r="G730" s="307">
        <f>G720</f>
        <v>28.46</v>
      </c>
    </row>
    <row r="731" spans="1:7" ht="30" customHeight="1">
      <c r="A731" s="170">
        <v>20083</v>
      </c>
      <c r="B731" s="306" t="s">
        <v>747</v>
      </c>
      <c r="C731" s="307">
        <f t="shared" si="11"/>
        <v>30.676100000000002</v>
      </c>
      <c r="G731" s="307">
        <f>G721</f>
        <v>33.71</v>
      </c>
    </row>
    <row r="732" spans="1:7" ht="30" customHeight="1">
      <c r="A732" s="170">
        <v>2696</v>
      </c>
      <c r="B732" s="306" t="s">
        <v>517</v>
      </c>
      <c r="C732" s="307">
        <f t="shared" si="11"/>
        <v>8.6722999999999999</v>
      </c>
      <c r="G732" s="307">
        <f>G723</f>
        <v>9.5299999999999994</v>
      </c>
    </row>
    <row r="733" spans="1:7" ht="30" customHeight="1">
      <c r="A733" s="170">
        <v>6115</v>
      </c>
      <c r="B733" s="306" t="s">
        <v>775</v>
      </c>
      <c r="C733" s="307">
        <f t="shared" si="11"/>
        <v>6.4064000000000005</v>
      </c>
      <c r="G733" s="307">
        <f>G722</f>
        <v>7.04</v>
      </c>
    </row>
    <row r="734" spans="1:7" ht="30" customHeight="1">
      <c r="A734" s="170">
        <v>7129</v>
      </c>
      <c r="B734" s="306" t="s">
        <v>833</v>
      </c>
      <c r="C734" s="307">
        <f t="shared" si="11"/>
        <v>5.8058000000000005</v>
      </c>
      <c r="G734" s="307">
        <v>6.38</v>
      </c>
    </row>
    <row r="735" spans="1:7" ht="30" customHeight="1">
      <c r="A735" s="170">
        <v>122</v>
      </c>
      <c r="B735" s="306" t="s">
        <v>746</v>
      </c>
      <c r="C735" s="307">
        <f t="shared" si="11"/>
        <v>25.898600000000002</v>
      </c>
      <c r="G735" s="307">
        <f>G730</f>
        <v>28.46</v>
      </c>
    </row>
    <row r="736" spans="1:7" ht="30" customHeight="1">
      <c r="A736" s="170">
        <v>20083</v>
      </c>
      <c r="B736" s="306" t="s">
        <v>747</v>
      </c>
      <c r="C736" s="307">
        <f t="shared" si="11"/>
        <v>30.676100000000002</v>
      </c>
      <c r="G736" s="307">
        <f>G726</f>
        <v>33.71</v>
      </c>
    </row>
    <row r="737" spans="1:7" ht="30" customHeight="1">
      <c r="A737" s="170">
        <v>2696</v>
      </c>
      <c r="B737" s="306" t="s">
        <v>517</v>
      </c>
      <c r="C737" s="307">
        <f t="shared" si="11"/>
        <v>8.6722999999999999</v>
      </c>
      <c r="G737" s="307">
        <f>G727</f>
        <v>9.5299999999999994</v>
      </c>
    </row>
    <row r="738" spans="1:7" ht="30" customHeight="1">
      <c r="A738" s="170">
        <v>6115</v>
      </c>
      <c r="B738" s="306" t="s">
        <v>775</v>
      </c>
      <c r="C738" s="307">
        <f t="shared" si="11"/>
        <v>6.4064000000000005</v>
      </c>
      <c r="G738" s="307">
        <f>G728</f>
        <v>7.04</v>
      </c>
    </row>
    <row r="739" spans="1:7" ht="30" customHeight="1">
      <c r="A739" s="170">
        <v>7130</v>
      </c>
      <c r="B739" s="306" t="s">
        <v>835</v>
      </c>
      <c r="C739" s="307">
        <f t="shared" si="11"/>
        <v>9.0909000000000013</v>
      </c>
      <c r="G739" s="307">
        <v>9.99</v>
      </c>
    </row>
    <row r="740" spans="1:7" ht="30" customHeight="1">
      <c r="A740" s="170">
        <v>122</v>
      </c>
      <c r="B740" s="306" t="s">
        <v>746</v>
      </c>
      <c r="C740" s="307">
        <f t="shared" si="11"/>
        <v>25.898600000000002</v>
      </c>
      <c r="G740" s="307">
        <f>G735</f>
        <v>28.46</v>
      </c>
    </row>
    <row r="741" spans="1:7" ht="30" customHeight="1">
      <c r="A741" s="170">
        <v>20083</v>
      </c>
      <c r="B741" s="306" t="s">
        <v>747</v>
      </c>
      <c r="C741" s="307">
        <f t="shared" si="11"/>
        <v>30.676100000000002</v>
      </c>
      <c r="G741" s="307">
        <f>G736</f>
        <v>33.71</v>
      </c>
    </row>
    <row r="742" spans="1:7" ht="30" customHeight="1">
      <c r="A742" s="170">
        <v>2696</v>
      </c>
      <c r="B742" s="306" t="s">
        <v>517</v>
      </c>
      <c r="C742" s="307">
        <f t="shared" si="11"/>
        <v>8.6722999999999999</v>
      </c>
      <c r="G742" s="307">
        <f>G737</f>
        <v>9.5299999999999994</v>
      </c>
    </row>
    <row r="743" spans="1:7" ht="30" customHeight="1">
      <c r="A743" s="170">
        <v>6115</v>
      </c>
      <c r="B743" s="306" t="s">
        <v>775</v>
      </c>
      <c r="C743" s="307">
        <f t="shared" si="11"/>
        <v>6.4064000000000005</v>
      </c>
      <c r="G743" s="307">
        <f>G738</f>
        <v>7.04</v>
      </c>
    </row>
    <row r="744" spans="1:7" ht="30" customHeight="1">
      <c r="A744" s="170">
        <v>7132</v>
      </c>
      <c r="B744" s="306" t="s">
        <v>837</v>
      </c>
      <c r="C744" s="307">
        <f t="shared" si="11"/>
        <v>25.134200000000003</v>
      </c>
      <c r="G744" s="307">
        <v>27.62</v>
      </c>
    </row>
    <row r="745" spans="1:7" ht="30" customHeight="1">
      <c r="A745" s="170">
        <v>122</v>
      </c>
      <c r="B745" s="306" t="s">
        <v>746</v>
      </c>
      <c r="C745" s="307">
        <f t="shared" si="11"/>
        <v>25.898600000000002</v>
      </c>
      <c r="G745" s="307">
        <f>G740</f>
        <v>28.46</v>
      </c>
    </row>
    <row r="746" spans="1:7" ht="30" customHeight="1">
      <c r="A746" s="170">
        <v>20083</v>
      </c>
      <c r="B746" s="306" t="s">
        <v>747</v>
      </c>
      <c r="C746" s="307">
        <f t="shared" si="11"/>
        <v>30.676100000000002</v>
      </c>
      <c r="G746" s="307">
        <f>G736</f>
        <v>33.71</v>
      </c>
    </row>
    <row r="747" spans="1:7" ht="30" customHeight="1">
      <c r="A747" s="170">
        <v>2696</v>
      </c>
      <c r="B747" s="306" t="s">
        <v>517</v>
      </c>
      <c r="C747" s="307">
        <f t="shared" si="11"/>
        <v>8.6722999999999999</v>
      </c>
      <c r="G747" s="307">
        <f>G737</f>
        <v>9.5299999999999994</v>
      </c>
    </row>
    <row r="748" spans="1:7" ht="30" customHeight="1">
      <c r="A748" s="170">
        <v>6116</v>
      </c>
      <c r="B748" s="306" t="s">
        <v>516</v>
      </c>
      <c r="C748" s="307">
        <f t="shared" si="11"/>
        <v>7.0798000000000005</v>
      </c>
      <c r="G748" s="307">
        <f>G647</f>
        <v>7.78</v>
      </c>
    </row>
    <row r="749" spans="1:7" ht="30" customHeight="1">
      <c r="A749" s="170">
        <v>823</v>
      </c>
      <c r="B749" s="306" t="s">
        <v>1354</v>
      </c>
      <c r="C749" s="307">
        <f t="shared" si="11"/>
        <v>7.1434999999999995</v>
      </c>
      <c r="G749" s="307">
        <v>7.85</v>
      </c>
    </row>
    <row r="750" spans="1:7" ht="30" customHeight="1">
      <c r="A750" s="170">
        <v>122</v>
      </c>
      <c r="B750" s="306" t="s">
        <v>746</v>
      </c>
      <c r="C750" s="307">
        <f t="shared" si="11"/>
        <v>25.898600000000002</v>
      </c>
      <c r="G750" s="307">
        <f>G745</f>
        <v>28.46</v>
      </c>
    </row>
    <row r="751" spans="1:7" ht="30" customHeight="1">
      <c r="A751" s="170">
        <v>20083</v>
      </c>
      <c r="B751" s="306" t="s">
        <v>747</v>
      </c>
      <c r="C751" s="307">
        <f t="shared" si="11"/>
        <v>30.676100000000002</v>
      </c>
      <c r="G751" s="307">
        <f>G746</f>
        <v>33.71</v>
      </c>
    </row>
    <row r="752" spans="1:7" ht="30" customHeight="1">
      <c r="A752" s="170">
        <v>2696</v>
      </c>
      <c r="B752" s="306" t="s">
        <v>517</v>
      </c>
      <c r="C752" s="307">
        <f t="shared" si="11"/>
        <v>8.6722999999999999</v>
      </c>
      <c r="G752" s="307">
        <f>G747</f>
        <v>9.5299999999999994</v>
      </c>
    </row>
    <row r="753" spans="1:7" ht="30" customHeight="1">
      <c r="A753" s="170">
        <v>6116</v>
      </c>
      <c r="B753" s="306" t="s">
        <v>516</v>
      </c>
      <c r="C753" s="307">
        <f t="shared" si="11"/>
        <v>7.0798000000000005</v>
      </c>
      <c r="G753" s="307">
        <f>G748</f>
        <v>7.78</v>
      </c>
    </row>
    <row r="754" spans="1:7" ht="30" customHeight="1">
      <c r="A754" s="170">
        <v>11379</v>
      </c>
      <c r="B754" s="306" t="s">
        <v>1357</v>
      </c>
      <c r="C754" s="307">
        <f t="shared" si="11"/>
        <v>24.2879</v>
      </c>
      <c r="G754" s="307">
        <v>26.69</v>
      </c>
    </row>
    <row r="755" spans="1:7" ht="30" customHeight="1">
      <c r="A755" s="170">
        <v>122</v>
      </c>
      <c r="B755" s="306" t="s">
        <v>746</v>
      </c>
      <c r="C755" s="307">
        <f t="shared" si="11"/>
        <v>25.898600000000002</v>
      </c>
      <c r="G755" s="307">
        <f>G750</f>
        <v>28.46</v>
      </c>
    </row>
    <row r="756" spans="1:7" ht="30" customHeight="1">
      <c r="A756" s="170">
        <v>20083</v>
      </c>
      <c r="B756" s="306" t="s">
        <v>747</v>
      </c>
      <c r="C756" s="307">
        <f t="shared" si="11"/>
        <v>30.676100000000002</v>
      </c>
      <c r="G756" s="307">
        <f>G751</f>
        <v>33.71</v>
      </c>
    </row>
    <row r="757" spans="1:7" ht="30" customHeight="1">
      <c r="A757" s="170">
        <v>2696</v>
      </c>
      <c r="B757" s="306" t="s">
        <v>517</v>
      </c>
      <c r="C757" s="307">
        <f t="shared" si="11"/>
        <v>8.6722999999999999</v>
      </c>
      <c r="G757" s="307">
        <f>G752</f>
        <v>9.5299999999999994</v>
      </c>
    </row>
    <row r="758" spans="1:7" ht="30" customHeight="1">
      <c r="A758" s="170">
        <v>6116</v>
      </c>
      <c r="B758" s="306" t="s">
        <v>516</v>
      </c>
      <c r="C758" s="307">
        <f t="shared" si="11"/>
        <v>7.0798000000000005</v>
      </c>
      <c r="G758" s="307">
        <f>G753</f>
        <v>7.78</v>
      </c>
    </row>
    <row r="759" spans="1:7" ht="30" customHeight="1">
      <c r="A759" s="170">
        <v>3521</v>
      </c>
      <c r="B759" s="306" t="s">
        <v>1359</v>
      </c>
      <c r="C759" s="307">
        <f t="shared" si="11"/>
        <v>0.81900000000000006</v>
      </c>
      <c r="G759" s="307">
        <v>0.9</v>
      </c>
    </row>
    <row r="760" spans="1:7" ht="30" customHeight="1">
      <c r="A760" s="170">
        <v>3146</v>
      </c>
      <c r="B760" s="306" t="s">
        <v>716</v>
      </c>
      <c r="C760" s="307">
        <f t="shared" si="11"/>
        <v>1.365</v>
      </c>
      <c r="G760" s="307">
        <f>G636</f>
        <v>1.5</v>
      </c>
    </row>
    <row r="761" spans="1:7" ht="30" customHeight="1">
      <c r="A761" s="170">
        <v>2696</v>
      </c>
      <c r="B761" s="306" t="s">
        <v>517</v>
      </c>
      <c r="C761" s="307">
        <f t="shared" si="11"/>
        <v>8.6722999999999999</v>
      </c>
      <c r="G761" s="307">
        <f>G757</f>
        <v>9.5299999999999994</v>
      </c>
    </row>
    <row r="762" spans="1:7" ht="30" customHeight="1">
      <c r="A762" s="170">
        <v>6116</v>
      </c>
      <c r="B762" s="306" t="s">
        <v>516</v>
      </c>
      <c r="C762" s="307">
        <f t="shared" si="11"/>
        <v>7.0798000000000005</v>
      </c>
      <c r="G762" s="307">
        <f>G758</f>
        <v>7.78</v>
      </c>
    </row>
    <row r="763" spans="1:7" ht="30" customHeight="1">
      <c r="A763" s="170">
        <v>3906</v>
      </c>
      <c r="B763" s="306" t="s">
        <v>1360</v>
      </c>
      <c r="C763" s="307">
        <f t="shared" si="11"/>
        <v>0.80990000000000006</v>
      </c>
      <c r="G763" s="307">
        <v>0.89</v>
      </c>
    </row>
    <row r="764" spans="1:7" ht="30" customHeight="1">
      <c r="A764" s="170">
        <v>3146</v>
      </c>
      <c r="B764" s="306" t="s">
        <v>716</v>
      </c>
      <c r="C764" s="307">
        <f t="shared" si="11"/>
        <v>1.365</v>
      </c>
      <c r="G764" s="307">
        <f>G760</f>
        <v>1.5</v>
      </c>
    </row>
    <row r="765" spans="1:7" ht="30" customHeight="1">
      <c r="A765" s="170">
        <v>2696</v>
      </c>
      <c r="B765" s="306" t="s">
        <v>517</v>
      </c>
      <c r="C765" s="307">
        <f t="shared" si="11"/>
        <v>8.6722999999999999</v>
      </c>
      <c r="G765" s="307">
        <f>G761</f>
        <v>9.5299999999999994</v>
      </c>
    </row>
    <row r="766" spans="1:7" ht="30" customHeight="1">
      <c r="A766" s="170">
        <v>6116</v>
      </c>
      <c r="B766" s="306" t="s">
        <v>516</v>
      </c>
      <c r="C766" s="307">
        <f t="shared" si="11"/>
        <v>7.0798000000000005</v>
      </c>
      <c r="G766" s="307">
        <f>G762</f>
        <v>7.78</v>
      </c>
    </row>
    <row r="767" spans="1:7" ht="30" customHeight="1">
      <c r="A767" s="170">
        <v>1379</v>
      </c>
      <c r="B767" s="306" t="s">
        <v>1489</v>
      </c>
      <c r="C767" s="307">
        <f t="shared" si="11"/>
        <v>0.50050000000000006</v>
      </c>
      <c r="G767" s="307">
        <v>0.55000000000000004</v>
      </c>
    </row>
    <row r="768" spans="1:7" ht="30" customHeight="1">
      <c r="A768" s="170">
        <v>7258</v>
      </c>
      <c r="B768" s="306" t="s">
        <v>840</v>
      </c>
      <c r="C768" s="307">
        <f t="shared" si="11"/>
        <v>1.1648000000000001</v>
      </c>
      <c r="G768" s="307">
        <v>1.28</v>
      </c>
    </row>
    <row r="769" spans="1:7" ht="30" customHeight="1">
      <c r="A769" s="170">
        <v>6014</v>
      </c>
      <c r="B769" s="306" t="s">
        <v>841</v>
      </c>
      <c r="C769" s="307">
        <f t="shared" si="11"/>
        <v>347.21960000000001</v>
      </c>
      <c r="G769" s="616">
        <v>381.56</v>
      </c>
    </row>
    <row r="770" spans="1:7" ht="30" customHeight="1">
      <c r="A770" s="170">
        <v>6028</v>
      </c>
      <c r="B770" s="306" t="s">
        <v>842</v>
      </c>
      <c r="C770" s="307">
        <f t="shared" si="11"/>
        <v>296.66000000000003</v>
      </c>
      <c r="G770" s="616">
        <v>326</v>
      </c>
    </row>
    <row r="771" spans="1:7" ht="30" customHeight="1">
      <c r="A771" s="170">
        <v>6045</v>
      </c>
      <c r="B771" s="306" t="s">
        <v>604</v>
      </c>
      <c r="C771" s="307">
        <f t="shared" si="11"/>
        <v>365.56520000000006</v>
      </c>
      <c r="G771" s="311">
        <v>401.72</v>
      </c>
    </row>
    <row r="772" spans="1:7" ht="30" customHeight="1">
      <c r="A772" s="170">
        <v>6087</v>
      </c>
      <c r="B772" s="306" t="s">
        <v>843</v>
      </c>
      <c r="C772" s="307">
        <f t="shared" si="11"/>
        <v>20.0564</v>
      </c>
      <c r="G772" s="311">
        <v>22.04</v>
      </c>
    </row>
    <row r="773" spans="1:7" ht="30" customHeight="1">
      <c r="A773" s="310" t="s">
        <v>844</v>
      </c>
      <c r="B773" s="314" t="s">
        <v>845</v>
      </c>
      <c r="C773" s="307">
        <f t="shared" si="11"/>
        <v>69.897100000000009</v>
      </c>
      <c r="G773" s="616">
        <v>76.81</v>
      </c>
    </row>
    <row r="774" spans="1:7" ht="30" customHeight="1">
      <c r="A774" s="170">
        <v>4750</v>
      </c>
      <c r="B774" s="306" t="s">
        <v>576</v>
      </c>
      <c r="C774" s="307">
        <f t="shared" si="11"/>
        <v>8.6722999999999999</v>
      </c>
      <c r="G774" s="307">
        <f>G189</f>
        <v>9.5299999999999994</v>
      </c>
    </row>
    <row r="775" spans="1:7" ht="30" customHeight="1">
      <c r="A775" s="170">
        <v>6111</v>
      </c>
      <c r="B775" s="306" t="s">
        <v>535</v>
      </c>
      <c r="C775" s="307">
        <f t="shared" si="11"/>
        <v>6.4064000000000005</v>
      </c>
      <c r="G775" s="307">
        <f>G372</f>
        <v>7.04</v>
      </c>
    </row>
    <row r="776" spans="1:7" ht="30" customHeight="1">
      <c r="A776" s="170">
        <v>122</v>
      </c>
      <c r="B776" s="306" t="s">
        <v>746</v>
      </c>
      <c r="C776" s="307">
        <f t="shared" si="11"/>
        <v>25.898600000000002</v>
      </c>
      <c r="G776" s="307">
        <f>G787</f>
        <v>28.46</v>
      </c>
    </row>
    <row r="777" spans="1:7" ht="30" customHeight="1">
      <c r="A777" s="170">
        <v>11717</v>
      </c>
      <c r="B777" s="306" t="s">
        <v>847</v>
      </c>
      <c r="C777" s="307">
        <f t="shared" si="11"/>
        <v>14.6601</v>
      </c>
      <c r="G777" s="307">
        <v>16.11</v>
      </c>
    </row>
    <row r="778" spans="1:7" ht="30" customHeight="1">
      <c r="A778" s="170">
        <v>2696</v>
      </c>
      <c r="B778" s="306" t="s">
        <v>517</v>
      </c>
      <c r="C778" s="307">
        <f t="shared" ref="C778:C841" si="12">G778*0.91</f>
        <v>8.6722999999999999</v>
      </c>
      <c r="G778" s="307">
        <f>G765</f>
        <v>9.5299999999999994</v>
      </c>
    </row>
    <row r="779" spans="1:7" ht="30" customHeight="1">
      <c r="A779" s="170">
        <v>6111</v>
      </c>
      <c r="B779" s="306" t="s">
        <v>535</v>
      </c>
      <c r="C779" s="307">
        <f t="shared" si="12"/>
        <v>6.4064000000000005</v>
      </c>
      <c r="G779" s="307">
        <f>G477</f>
        <v>7.04</v>
      </c>
    </row>
    <row r="780" spans="1:7" ht="30" customHeight="1">
      <c r="A780" s="170">
        <v>11714</v>
      </c>
      <c r="B780" s="306" t="s">
        <v>848</v>
      </c>
      <c r="C780" s="307">
        <f t="shared" si="12"/>
        <v>19.201000000000001</v>
      </c>
      <c r="G780" s="307">
        <v>21.1</v>
      </c>
    </row>
    <row r="781" spans="1:7" ht="30" customHeight="1">
      <c r="A781" s="170">
        <v>2696</v>
      </c>
      <c r="B781" s="306" t="s">
        <v>517</v>
      </c>
      <c r="C781" s="307">
        <f t="shared" si="12"/>
        <v>8.6722999999999999</v>
      </c>
      <c r="G781" s="307">
        <f>G778</f>
        <v>9.5299999999999994</v>
      </c>
    </row>
    <row r="782" spans="1:7" ht="30" customHeight="1">
      <c r="A782" s="170">
        <v>6115</v>
      </c>
      <c r="B782" s="306" t="s">
        <v>509</v>
      </c>
      <c r="C782" s="307">
        <f t="shared" si="12"/>
        <v>6.4064000000000005</v>
      </c>
      <c r="G782" s="307">
        <f>G743</f>
        <v>7.04</v>
      </c>
    </row>
    <row r="783" spans="1:7" ht="30" customHeight="1">
      <c r="A783" s="170">
        <v>11745</v>
      </c>
      <c r="B783" s="306" t="s">
        <v>849</v>
      </c>
      <c r="C783" s="307">
        <f t="shared" si="12"/>
        <v>5.4326999999999996</v>
      </c>
      <c r="G783" s="307">
        <v>5.97</v>
      </c>
    </row>
    <row r="784" spans="1:7" ht="30" customHeight="1">
      <c r="A784" s="170">
        <v>6115</v>
      </c>
      <c r="B784" s="306" t="s">
        <v>704</v>
      </c>
      <c r="C784" s="307">
        <f t="shared" si="12"/>
        <v>6.4064000000000005</v>
      </c>
      <c r="G784" s="307">
        <f>G782</f>
        <v>7.04</v>
      </c>
    </row>
    <row r="785" spans="1:7" ht="30" customHeight="1">
      <c r="A785" s="170">
        <v>2696</v>
      </c>
      <c r="B785" s="306" t="s">
        <v>517</v>
      </c>
      <c r="C785" s="307">
        <f t="shared" si="12"/>
        <v>8.6722999999999999</v>
      </c>
      <c r="G785" s="307">
        <f>G778</f>
        <v>9.5299999999999994</v>
      </c>
    </row>
    <row r="786" spans="1:7" ht="30" customHeight="1">
      <c r="A786" s="170">
        <v>1933</v>
      </c>
      <c r="B786" s="306" t="s">
        <v>851</v>
      </c>
      <c r="C786" s="307">
        <f t="shared" si="12"/>
        <v>1.8836999999999999</v>
      </c>
      <c r="G786" s="307">
        <v>2.0699999999999998</v>
      </c>
    </row>
    <row r="787" spans="1:7" ht="30" customHeight="1">
      <c r="A787" s="170">
        <v>122</v>
      </c>
      <c r="B787" s="306" t="s">
        <v>746</v>
      </c>
      <c r="C787" s="307">
        <f t="shared" si="12"/>
        <v>25.898600000000002</v>
      </c>
      <c r="G787" s="307">
        <f>G791</f>
        <v>28.46</v>
      </c>
    </row>
    <row r="788" spans="1:7" ht="30" customHeight="1">
      <c r="A788" s="170">
        <v>20083</v>
      </c>
      <c r="B788" s="306" t="s">
        <v>747</v>
      </c>
      <c r="C788" s="307">
        <f t="shared" si="12"/>
        <v>30.676100000000002</v>
      </c>
      <c r="G788" s="307">
        <f>G756</f>
        <v>33.71</v>
      </c>
    </row>
    <row r="789" spans="1:7" ht="30" customHeight="1">
      <c r="A789" s="170">
        <v>246</v>
      </c>
      <c r="B789" s="306" t="s">
        <v>704</v>
      </c>
      <c r="C789" s="307">
        <f t="shared" si="12"/>
        <v>6.4792000000000005</v>
      </c>
      <c r="G789" s="307">
        <v>7.12</v>
      </c>
    </row>
    <row r="790" spans="1:7" ht="30" customHeight="1">
      <c r="A790" s="170">
        <v>2696</v>
      </c>
      <c r="B790" s="306" t="s">
        <v>517</v>
      </c>
      <c r="C790" s="307">
        <f t="shared" si="12"/>
        <v>8.6722999999999999</v>
      </c>
      <c r="G790" s="307">
        <f>G785</f>
        <v>9.5299999999999994</v>
      </c>
    </row>
    <row r="791" spans="1:7" ht="30" customHeight="1">
      <c r="A791" s="170">
        <v>122</v>
      </c>
      <c r="B791" s="306" t="s">
        <v>746</v>
      </c>
      <c r="C791" s="307">
        <f t="shared" si="12"/>
        <v>25.898600000000002</v>
      </c>
      <c r="G791" s="307">
        <f>G750</f>
        <v>28.46</v>
      </c>
    </row>
    <row r="792" spans="1:7" ht="30" customHeight="1">
      <c r="A792" s="170">
        <v>20083</v>
      </c>
      <c r="B792" s="306" t="s">
        <v>747</v>
      </c>
      <c r="C792" s="307">
        <f t="shared" si="12"/>
        <v>30.676100000000002</v>
      </c>
      <c r="G792" s="307">
        <f>G788</f>
        <v>33.71</v>
      </c>
    </row>
    <row r="793" spans="1:7" ht="30" customHeight="1">
      <c r="A793" s="170">
        <v>1932</v>
      </c>
      <c r="B793" s="306" t="s">
        <v>853</v>
      </c>
      <c r="C793" s="307">
        <f t="shared" si="12"/>
        <v>5.8058000000000005</v>
      </c>
      <c r="G793" s="307">
        <v>6.38</v>
      </c>
    </row>
    <row r="794" spans="1:7" ht="30" customHeight="1">
      <c r="A794" s="170">
        <v>246</v>
      </c>
      <c r="B794" s="306" t="s">
        <v>704</v>
      </c>
      <c r="C794" s="307">
        <f t="shared" si="12"/>
        <v>6.4792000000000005</v>
      </c>
      <c r="G794" s="307">
        <f>G789</f>
        <v>7.12</v>
      </c>
    </row>
    <row r="795" spans="1:7" ht="30" customHeight="1">
      <c r="A795" s="170">
        <v>2696</v>
      </c>
      <c r="B795" s="306" t="s">
        <v>517</v>
      </c>
      <c r="C795" s="307">
        <f t="shared" si="12"/>
        <v>8.6722999999999999</v>
      </c>
      <c r="G795" s="307">
        <f>G790</f>
        <v>9.5299999999999994</v>
      </c>
    </row>
    <row r="796" spans="1:7" ht="30" customHeight="1">
      <c r="A796" s="170">
        <v>1968</v>
      </c>
      <c r="B796" s="306" t="s">
        <v>854</v>
      </c>
      <c r="C796" s="307">
        <f t="shared" si="12"/>
        <v>4.5045000000000002</v>
      </c>
      <c r="G796" s="307">
        <v>4.95</v>
      </c>
    </row>
    <row r="797" spans="1:7" ht="30" customHeight="1">
      <c r="A797" s="170">
        <v>122</v>
      </c>
      <c r="B797" s="306" t="s">
        <v>746</v>
      </c>
      <c r="C797" s="307">
        <f t="shared" si="12"/>
        <v>25.898600000000002</v>
      </c>
      <c r="G797" s="307">
        <f>G791</f>
        <v>28.46</v>
      </c>
    </row>
    <row r="798" spans="1:7" ht="30" customHeight="1">
      <c r="A798" s="170">
        <v>20083</v>
      </c>
      <c r="B798" s="306" t="s">
        <v>747</v>
      </c>
      <c r="C798" s="307">
        <f t="shared" si="12"/>
        <v>30.676100000000002</v>
      </c>
      <c r="G798" s="307">
        <f>G792</f>
        <v>33.71</v>
      </c>
    </row>
    <row r="799" spans="1:7" ht="30" customHeight="1">
      <c r="A799" s="170">
        <v>246</v>
      </c>
      <c r="B799" s="306" t="s">
        <v>704</v>
      </c>
      <c r="C799" s="307">
        <f t="shared" si="12"/>
        <v>6.4792000000000005</v>
      </c>
      <c r="G799" s="307">
        <f>G794</f>
        <v>7.12</v>
      </c>
    </row>
    <row r="800" spans="1:7" ht="30" customHeight="1">
      <c r="A800" s="170">
        <v>2696</v>
      </c>
      <c r="B800" s="306" t="s">
        <v>517</v>
      </c>
      <c r="C800" s="307">
        <f t="shared" si="12"/>
        <v>8.6722999999999999</v>
      </c>
      <c r="G800" s="307">
        <f>G790</f>
        <v>9.5299999999999994</v>
      </c>
    </row>
    <row r="801" spans="1:7" ht="30" customHeight="1">
      <c r="A801" s="170">
        <v>1969</v>
      </c>
      <c r="B801" s="306" t="s">
        <v>855</v>
      </c>
      <c r="C801" s="307">
        <f t="shared" si="12"/>
        <v>13.3588</v>
      </c>
      <c r="G801" s="307">
        <v>14.68</v>
      </c>
    </row>
    <row r="802" spans="1:7" ht="30" customHeight="1">
      <c r="A802" s="170">
        <v>122</v>
      </c>
      <c r="B802" s="306" t="s">
        <v>746</v>
      </c>
      <c r="C802" s="307">
        <f t="shared" si="12"/>
        <v>25.898600000000002</v>
      </c>
      <c r="G802" s="307">
        <f>G797</f>
        <v>28.46</v>
      </c>
    </row>
    <row r="803" spans="1:7" ht="30" customHeight="1">
      <c r="A803" s="170">
        <v>20083</v>
      </c>
      <c r="B803" s="306" t="s">
        <v>747</v>
      </c>
      <c r="C803" s="307">
        <f t="shared" si="12"/>
        <v>30.676100000000002</v>
      </c>
      <c r="G803" s="307">
        <f>G798</f>
        <v>33.71</v>
      </c>
    </row>
    <row r="804" spans="1:7" ht="30" customHeight="1">
      <c r="A804" s="170">
        <v>246</v>
      </c>
      <c r="B804" s="306" t="s">
        <v>704</v>
      </c>
      <c r="C804" s="307">
        <f t="shared" si="12"/>
        <v>6.4792000000000005</v>
      </c>
      <c r="G804" s="307">
        <f>G799</f>
        <v>7.12</v>
      </c>
    </row>
    <row r="805" spans="1:7" ht="30" customHeight="1">
      <c r="A805" s="170">
        <v>2696</v>
      </c>
      <c r="B805" s="306" t="s">
        <v>517</v>
      </c>
      <c r="C805" s="307">
        <f t="shared" si="12"/>
        <v>8.6722999999999999</v>
      </c>
      <c r="G805" s="307">
        <f>G800</f>
        <v>9.5299999999999994</v>
      </c>
    </row>
    <row r="806" spans="1:7" ht="30" customHeight="1">
      <c r="A806" s="170">
        <v>3516</v>
      </c>
      <c r="B806" s="306" t="s">
        <v>857</v>
      </c>
      <c r="C806" s="307">
        <f t="shared" si="12"/>
        <v>1.0010000000000001</v>
      </c>
      <c r="G806" s="307">
        <v>1.1000000000000001</v>
      </c>
    </row>
    <row r="807" spans="1:7" ht="30" customHeight="1">
      <c r="A807" s="170">
        <v>122</v>
      </c>
      <c r="B807" s="306" t="s">
        <v>746</v>
      </c>
      <c r="C807" s="307">
        <f t="shared" si="12"/>
        <v>25.898600000000002</v>
      </c>
      <c r="G807" s="307">
        <f>G802</f>
        <v>28.46</v>
      </c>
    </row>
    <row r="808" spans="1:7" ht="30" customHeight="1">
      <c r="A808" s="170">
        <v>20083</v>
      </c>
      <c r="B808" s="306" t="s">
        <v>747</v>
      </c>
      <c r="C808" s="307">
        <f t="shared" si="12"/>
        <v>30.676100000000002</v>
      </c>
      <c r="G808" s="307">
        <f>G803</f>
        <v>33.71</v>
      </c>
    </row>
    <row r="809" spans="1:7" ht="30" customHeight="1">
      <c r="A809" s="170">
        <v>2696</v>
      </c>
      <c r="B809" s="306" t="s">
        <v>517</v>
      </c>
      <c r="C809" s="307">
        <f t="shared" si="12"/>
        <v>8.6722999999999999</v>
      </c>
      <c r="G809" s="307">
        <f>G805</f>
        <v>9.5299999999999994</v>
      </c>
    </row>
    <row r="810" spans="1:7" ht="30" customHeight="1">
      <c r="A810" s="170">
        <v>6115</v>
      </c>
      <c r="B810" s="306" t="s">
        <v>509</v>
      </c>
      <c r="C810" s="307">
        <f t="shared" si="12"/>
        <v>6.4064000000000005</v>
      </c>
      <c r="G810" s="307">
        <f>G743</f>
        <v>7.04</v>
      </c>
    </row>
    <row r="811" spans="1:7" ht="30" customHeight="1">
      <c r="A811" s="170">
        <v>122</v>
      </c>
      <c r="B811" s="306" t="s">
        <v>746</v>
      </c>
      <c r="C811" s="307">
        <f t="shared" si="12"/>
        <v>25.898600000000002</v>
      </c>
      <c r="G811" s="307">
        <f>G807</f>
        <v>28.46</v>
      </c>
    </row>
    <row r="812" spans="1:7" ht="30" customHeight="1">
      <c r="A812" s="170">
        <v>3518</v>
      </c>
      <c r="B812" s="306" t="s">
        <v>859</v>
      </c>
      <c r="C812" s="307">
        <f t="shared" si="12"/>
        <v>1.6744000000000001</v>
      </c>
      <c r="G812" s="307">
        <v>1.84</v>
      </c>
    </row>
    <row r="813" spans="1:7" ht="30" customHeight="1">
      <c r="A813" s="170">
        <v>20083</v>
      </c>
      <c r="B813" s="306" t="s">
        <v>747</v>
      </c>
      <c r="C813" s="307">
        <f t="shared" si="12"/>
        <v>30.676100000000002</v>
      </c>
      <c r="G813" s="307">
        <f>G808</f>
        <v>33.71</v>
      </c>
    </row>
    <row r="814" spans="1:7" ht="30" customHeight="1">
      <c r="A814" s="170">
        <v>2696</v>
      </c>
      <c r="B814" s="306" t="s">
        <v>517</v>
      </c>
      <c r="C814" s="307">
        <f t="shared" si="12"/>
        <v>8.6722999999999999</v>
      </c>
      <c r="G814" s="307">
        <f>G809</f>
        <v>9.5299999999999994</v>
      </c>
    </row>
    <row r="815" spans="1:7" ht="30" customHeight="1">
      <c r="A815" s="170">
        <v>6115</v>
      </c>
      <c r="B815" s="306" t="s">
        <v>509</v>
      </c>
      <c r="C815" s="307">
        <f t="shared" si="12"/>
        <v>6.4064000000000005</v>
      </c>
      <c r="G815" s="307">
        <f>G810</f>
        <v>7.04</v>
      </c>
    </row>
    <row r="816" spans="1:7" ht="30" customHeight="1">
      <c r="A816" s="170">
        <v>3519</v>
      </c>
      <c r="B816" s="306" t="s">
        <v>861</v>
      </c>
      <c r="C816" s="307">
        <f t="shared" si="12"/>
        <v>3.64</v>
      </c>
      <c r="G816" s="307">
        <v>4</v>
      </c>
    </row>
    <row r="817" spans="1:7" ht="30" customHeight="1">
      <c r="A817" s="170">
        <v>122</v>
      </c>
      <c r="B817" s="306" t="s">
        <v>746</v>
      </c>
      <c r="C817" s="307">
        <f t="shared" si="12"/>
        <v>25.898600000000002</v>
      </c>
      <c r="G817" s="307">
        <f>G811</f>
        <v>28.46</v>
      </c>
    </row>
    <row r="818" spans="1:7" ht="30" customHeight="1">
      <c r="A818" s="170">
        <v>20083</v>
      </c>
      <c r="B818" s="306" t="s">
        <v>747</v>
      </c>
      <c r="C818" s="307">
        <f t="shared" si="12"/>
        <v>30.676100000000002</v>
      </c>
      <c r="G818" s="307">
        <f>G813</f>
        <v>33.71</v>
      </c>
    </row>
    <row r="819" spans="1:7" ht="30" customHeight="1">
      <c r="A819" s="170">
        <v>2696</v>
      </c>
      <c r="B819" s="306" t="s">
        <v>517</v>
      </c>
      <c r="C819" s="307">
        <f t="shared" si="12"/>
        <v>8.6722999999999999</v>
      </c>
      <c r="G819" s="307">
        <f>G814</f>
        <v>9.5299999999999994</v>
      </c>
    </row>
    <row r="820" spans="1:7" ht="30" customHeight="1">
      <c r="A820" s="170">
        <v>6115</v>
      </c>
      <c r="B820" s="306" t="s">
        <v>509</v>
      </c>
      <c r="C820" s="307">
        <f t="shared" si="12"/>
        <v>6.4064000000000005</v>
      </c>
      <c r="G820" s="307">
        <f>G815</f>
        <v>7.04</v>
      </c>
    </row>
    <row r="821" spans="1:7" ht="30" customHeight="1">
      <c r="A821" s="170">
        <v>3528</v>
      </c>
      <c r="B821" s="306" t="s">
        <v>863</v>
      </c>
      <c r="C821" s="307">
        <f t="shared" si="12"/>
        <v>3.9676000000000005</v>
      </c>
      <c r="G821" s="307">
        <v>4.3600000000000003</v>
      </c>
    </row>
    <row r="822" spans="1:7" ht="30" customHeight="1">
      <c r="A822" s="170">
        <v>122</v>
      </c>
      <c r="B822" s="306" t="s">
        <v>746</v>
      </c>
      <c r="C822" s="307">
        <f t="shared" si="12"/>
        <v>25.898600000000002</v>
      </c>
      <c r="G822" s="307">
        <f>G811</f>
        <v>28.46</v>
      </c>
    </row>
    <row r="823" spans="1:7" ht="30" customHeight="1">
      <c r="A823" s="170">
        <v>20083</v>
      </c>
      <c r="B823" s="306" t="s">
        <v>747</v>
      </c>
      <c r="C823" s="307">
        <f t="shared" si="12"/>
        <v>30.676100000000002</v>
      </c>
      <c r="G823" s="307">
        <f>G813</f>
        <v>33.71</v>
      </c>
    </row>
    <row r="824" spans="1:7" ht="30" customHeight="1">
      <c r="A824" s="170">
        <v>2696</v>
      </c>
      <c r="B824" s="306" t="s">
        <v>517</v>
      </c>
      <c r="C824" s="307">
        <f t="shared" si="12"/>
        <v>8.6722999999999999</v>
      </c>
      <c r="G824" s="307">
        <f>G814</f>
        <v>9.5299999999999994</v>
      </c>
    </row>
    <row r="825" spans="1:7" ht="30" customHeight="1">
      <c r="A825" s="170">
        <v>6115</v>
      </c>
      <c r="B825" s="306" t="s">
        <v>509</v>
      </c>
      <c r="C825" s="307">
        <f t="shared" si="12"/>
        <v>6.4064000000000005</v>
      </c>
      <c r="G825" s="307">
        <f>G815</f>
        <v>7.04</v>
      </c>
    </row>
    <row r="826" spans="1:7" ht="30" customHeight="1">
      <c r="A826" s="170">
        <v>122</v>
      </c>
      <c r="B826" s="306" t="s">
        <v>746</v>
      </c>
      <c r="C826" s="307">
        <f t="shared" si="12"/>
        <v>25.898600000000002</v>
      </c>
      <c r="G826" s="307">
        <f>G822</f>
        <v>28.46</v>
      </c>
    </row>
    <row r="827" spans="1:7" ht="30" customHeight="1">
      <c r="A827" s="170">
        <v>20083</v>
      </c>
      <c r="B827" s="306" t="s">
        <v>747</v>
      </c>
      <c r="C827" s="307">
        <f t="shared" si="12"/>
        <v>30.676100000000002</v>
      </c>
      <c r="G827" s="307">
        <f>G818</f>
        <v>33.71</v>
      </c>
    </row>
    <row r="828" spans="1:7" ht="30" customHeight="1">
      <c r="A828" s="170">
        <v>3526</v>
      </c>
      <c r="B828" s="306" t="s">
        <v>865</v>
      </c>
      <c r="C828" s="307">
        <f t="shared" si="12"/>
        <v>1.3012999999999999</v>
      </c>
      <c r="G828" s="307">
        <v>1.43</v>
      </c>
    </row>
    <row r="829" spans="1:7" ht="30" customHeight="1">
      <c r="A829" s="170">
        <v>2696</v>
      </c>
      <c r="B829" s="306" t="s">
        <v>517</v>
      </c>
      <c r="C829" s="307">
        <f t="shared" si="12"/>
        <v>8.6722999999999999</v>
      </c>
      <c r="G829" s="307">
        <f>G819</f>
        <v>9.5299999999999994</v>
      </c>
    </row>
    <row r="830" spans="1:7" ht="30" customHeight="1">
      <c r="A830" s="170">
        <v>6115</v>
      </c>
      <c r="B830" s="306" t="s">
        <v>509</v>
      </c>
      <c r="C830" s="307">
        <f t="shared" si="12"/>
        <v>6.4064000000000005</v>
      </c>
      <c r="G830" s="307">
        <f>G825</f>
        <v>7.04</v>
      </c>
    </row>
    <row r="831" spans="1:7" ht="30" customHeight="1">
      <c r="A831" s="170">
        <v>122</v>
      </c>
      <c r="B831" s="306" t="s">
        <v>746</v>
      </c>
      <c r="C831" s="307">
        <f t="shared" si="12"/>
        <v>25.898600000000002</v>
      </c>
      <c r="G831" s="307">
        <f>G826</f>
        <v>28.46</v>
      </c>
    </row>
    <row r="832" spans="1:7" ht="30" customHeight="1">
      <c r="A832" s="170">
        <v>20083</v>
      </c>
      <c r="B832" s="306" t="s">
        <v>747</v>
      </c>
      <c r="C832" s="307">
        <f t="shared" si="12"/>
        <v>30.676100000000002</v>
      </c>
      <c r="G832" s="307">
        <f>G827</f>
        <v>33.71</v>
      </c>
    </row>
    <row r="833" spans="1:7" ht="30" customHeight="1">
      <c r="A833" s="170">
        <v>3520</v>
      </c>
      <c r="B833" s="306" t="s">
        <v>867</v>
      </c>
      <c r="C833" s="307">
        <f t="shared" si="12"/>
        <v>4.3043000000000005</v>
      </c>
      <c r="G833" s="307">
        <v>4.7300000000000004</v>
      </c>
    </row>
    <row r="834" spans="1:7" ht="30" customHeight="1">
      <c r="A834" s="170">
        <v>6115</v>
      </c>
      <c r="B834" s="306" t="s">
        <v>509</v>
      </c>
      <c r="C834" s="307">
        <f t="shared" si="12"/>
        <v>6.4064000000000005</v>
      </c>
      <c r="G834" s="307">
        <f>G825</f>
        <v>7.04</v>
      </c>
    </row>
    <row r="835" spans="1:7" ht="30" customHeight="1">
      <c r="A835" s="170">
        <v>2696</v>
      </c>
      <c r="B835" s="306" t="s">
        <v>517</v>
      </c>
      <c r="C835" s="307">
        <f t="shared" si="12"/>
        <v>8.6722999999999999</v>
      </c>
      <c r="G835" s="307">
        <f>G829</f>
        <v>9.5299999999999994</v>
      </c>
    </row>
    <row r="836" spans="1:7" ht="30" customHeight="1">
      <c r="A836" s="170">
        <v>122</v>
      </c>
      <c r="B836" s="306" t="s">
        <v>746</v>
      </c>
      <c r="C836" s="307">
        <f t="shared" si="12"/>
        <v>25.898600000000002</v>
      </c>
      <c r="G836" s="307">
        <f>G831</f>
        <v>28.46</v>
      </c>
    </row>
    <row r="837" spans="1:7" ht="30" customHeight="1">
      <c r="A837" s="170">
        <v>20083</v>
      </c>
      <c r="B837" s="306" t="s">
        <v>747</v>
      </c>
      <c r="C837" s="307">
        <f t="shared" si="12"/>
        <v>30.676100000000002</v>
      </c>
      <c r="G837" s="307">
        <f>G832</f>
        <v>33.71</v>
      </c>
    </row>
    <row r="838" spans="1:7" ht="30" customHeight="1">
      <c r="A838" s="170">
        <v>3509</v>
      </c>
      <c r="B838" s="306" t="s">
        <v>868</v>
      </c>
      <c r="C838" s="307">
        <f t="shared" si="12"/>
        <v>3.1577000000000002</v>
      </c>
      <c r="G838" s="307">
        <v>3.47</v>
      </c>
    </row>
    <row r="839" spans="1:7" ht="30" customHeight="1">
      <c r="A839" s="170">
        <v>2696</v>
      </c>
      <c r="B839" s="306" t="s">
        <v>517</v>
      </c>
      <c r="C839" s="307">
        <f t="shared" si="12"/>
        <v>8.6722999999999999</v>
      </c>
      <c r="G839" s="307">
        <f>G835</f>
        <v>9.5299999999999994</v>
      </c>
    </row>
    <row r="840" spans="1:7" ht="30" customHeight="1">
      <c r="A840" s="170">
        <v>6115</v>
      </c>
      <c r="B840" s="306" t="s">
        <v>509</v>
      </c>
      <c r="C840" s="307">
        <f t="shared" si="12"/>
        <v>6.4064000000000005</v>
      </c>
      <c r="G840" s="307">
        <f>G834</f>
        <v>7.04</v>
      </c>
    </row>
    <row r="841" spans="1:7" ht="30" customHeight="1">
      <c r="A841" s="170">
        <v>122</v>
      </c>
      <c r="B841" s="306" t="s">
        <v>746</v>
      </c>
      <c r="C841" s="307">
        <f t="shared" si="12"/>
        <v>25.898600000000002</v>
      </c>
      <c r="G841" s="307">
        <f>G836</f>
        <v>28.46</v>
      </c>
    </row>
    <row r="842" spans="1:7" ht="30" customHeight="1">
      <c r="A842" s="170">
        <v>3517</v>
      </c>
      <c r="B842" s="306" t="s">
        <v>870</v>
      </c>
      <c r="C842" s="307">
        <f t="shared" ref="C842:C905" si="13">G842*0.91</f>
        <v>0.85539999999999994</v>
      </c>
      <c r="G842" s="307">
        <v>0.94</v>
      </c>
    </row>
    <row r="843" spans="1:7" ht="30" customHeight="1">
      <c r="A843" s="170">
        <v>20083</v>
      </c>
      <c r="B843" s="306" t="s">
        <v>747</v>
      </c>
      <c r="C843" s="307">
        <f t="shared" si="13"/>
        <v>30.676100000000002</v>
      </c>
      <c r="G843" s="307">
        <f>G837</f>
        <v>33.71</v>
      </c>
    </row>
    <row r="844" spans="1:7" ht="30" customHeight="1">
      <c r="A844" s="170">
        <v>295</v>
      </c>
      <c r="B844" s="306" t="s">
        <v>871</v>
      </c>
      <c r="C844" s="307">
        <f t="shared" si="13"/>
        <v>0.6552</v>
      </c>
      <c r="G844" s="307">
        <v>0.72</v>
      </c>
    </row>
    <row r="845" spans="1:7" ht="30" customHeight="1">
      <c r="A845" s="170">
        <v>2696</v>
      </c>
      <c r="B845" s="306" t="s">
        <v>517</v>
      </c>
      <c r="C845" s="307">
        <f t="shared" si="13"/>
        <v>8.6722999999999999</v>
      </c>
      <c r="G845" s="307">
        <f>G839</f>
        <v>9.5299999999999994</v>
      </c>
    </row>
    <row r="846" spans="1:7" ht="30" customHeight="1">
      <c r="A846" s="170">
        <v>6115</v>
      </c>
      <c r="B846" s="306" t="s">
        <v>509</v>
      </c>
      <c r="C846" s="307">
        <f t="shared" si="13"/>
        <v>6.4064000000000005</v>
      </c>
      <c r="G846" s="307">
        <f>G840</f>
        <v>7.04</v>
      </c>
    </row>
    <row r="847" spans="1:7" ht="30" customHeight="1">
      <c r="A847" s="170">
        <v>122</v>
      </c>
      <c r="B847" s="306" t="s">
        <v>746</v>
      </c>
      <c r="C847" s="307">
        <f t="shared" si="13"/>
        <v>25.898600000000002</v>
      </c>
      <c r="G847" s="307">
        <f>G841</f>
        <v>28.46</v>
      </c>
    </row>
    <row r="848" spans="1:7" ht="30" customHeight="1">
      <c r="A848" s="170">
        <v>20083</v>
      </c>
      <c r="B848" s="306" t="s">
        <v>747</v>
      </c>
      <c r="C848" s="307">
        <f t="shared" si="13"/>
        <v>30.676100000000002</v>
      </c>
      <c r="G848" s="307">
        <f>G843</f>
        <v>33.71</v>
      </c>
    </row>
    <row r="849" spans="1:7" ht="30" customHeight="1">
      <c r="A849" s="170">
        <v>3658</v>
      </c>
      <c r="B849" s="306" t="s">
        <v>873</v>
      </c>
      <c r="C849" s="307">
        <f t="shared" si="13"/>
        <v>7.9806999999999997</v>
      </c>
      <c r="G849" s="307">
        <v>8.77</v>
      </c>
    </row>
    <row r="850" spans="1:7" ht="30" customHeight="1">
      <c r="A850" s="170">
        <v>2696</v>
      </c>
      <c r="B850" s="306" t="s">
        <v>517</v>
      </c>
      <c r="C850" s="307">
        <f t="shared" si="13"/>
        <v>8.6722999999999999</v>
      </c>
      <c r="G850" s="307">
        <f>G845</f>
        <v>9.5299999999999994</v>
      </c>
    </row>
    <row r="851" spans="1:7" ht="30" customHeight="1">
      <c r="A851" s="170">
        <v>6115</v>
      </c>
      <c r="B851" s="306" t="s">
        <v>775</v>
      </c>
      <c r="C851" s="307">
        <f t="shared" si="13"/>
        <v>6.4064000000000005</v>
      </c>
      <c r="G851" s="307">
        <f>G846</f>
        <v>7.04</v>
      </c>
    </row>
    <row r="852" spans="1:7" ht="30" customHeight="1">
      <c r="A852" s="170">
        <v>122</v>
      </c>
      <c r="B852" s="306" t="s">
        <v>746</v>
      </c>
      <c r="C852" s="307">
        <f t="shared" si="13"/>
        <v>25.898600000000002</v>
      </c>
      <c r="G852" s="307">
        <f>G847</f>
        <v>28.46</v>
      </c>
    </row>
    <row r="853" spans="1:7" ht="30" customHeight="1">
      <c r="A853" s="170">
        <v>20083</v>
      </c>
      <c r="B853" s="306" t="s">
        <v>747</v>
      </c>
      <c r="C853" s="307">
        <f t="shared" si="13"/>
        <v>30.676100000000002</v>
      </c>
      <c r="G853" s="307">
        <f>G848</f>
        <v>33.71</v>
      </c>
    </row>
    <row r="854" spans="1:7" ht="30" customHeight="1">
      <c r="A854" s="170">
        <v>3670</v>
      </c>
      <c r="B854" s="306" t="s">
        <v>875</v>
      </c>
      <c r="C854" s="307">
        <f t="shared" si="13"/>
        <v>10.537800000000001</v>
      </c>
      <c r="G854" s="307">
        <v>11.58</v>
      </c>
    </row>
    <row r="855" spans="1:7" ht="30" customHeight="1">
      <c r="A855" s="170">
        <v>6115</v>
      </c>
      <c r="B855" s="306" t="s">
        <v>775</v>
      </c>
      <c r="C855" s="307">
        <f t="shared" si="13"/>
        <v>6.4064000000000005</v>
      </c>
      <c r="G855" s="307">
        <f>G851</f>
        <v>7.04</v>
      </c>
    </row>
    <row r="856" spans="1:7" ht="30" customHeight="1">
      <c r="A856" s="170">
        <v>2696</v>
      </c>
      <c r="B856" s="306" t="s">
        <v>517</v>
      </c>
      <c r="C856" s="307">
        <f t="shared" si="13"/>
        <v>8.6722999999999999</v>
      </c>
      <c r="G856" s="307">
        <f>G850</f>
        <v>9.5299999999999994</v>
      </c>
    </row>
    <row r="857" spans="1:7" ht="30" customHeight="1">
      <c r="A857" s="170">
        <v>122</v>
      </c>
      <c r="B857" s="306" t="s">
        <v>746</v>
      </c>
      <c r="C857" s="307">
        <f t="shared" si="13"/>
        <v>25.898600000000002</v>
      </c>
      <c r="G857" s="307">
        <f>G852</f>
        <v>28.46</v>
      </c>
    </row>
    <row r="858" spans="1:7" ht="30" customHeight="1">
      <c r="A858" s="170">
        <v>20083</v>
      </c>
      <c r="B858" s="306" t="s">
        <v>747</v>
      </c>
      <c r="C858" s="307">
        <f t="shared" si="13"/>
        <v>30.676100000000002</v>
      </c>
      <c r="G858" s="307">
        <f>G853</f>
        <v>33.71</v>
      </c>
    </row>
    <row r="859" spans="1:7" ht="30" customHeight="1">
      <c r="A859" s="170">
        <v>3661</v>
      </c>
      <c r="B859" s="306" t="s">
        <v>877</v>
      </c>
      <c r="C859" s="307">
        <f t="shared" si="13"/>
        <v>6.2698999999999998</v>
      </c>
      <c r="G859" s="307">
        <v>6.89</v>
      </c>
    </row>
    <row r="860" spans="1:7" ht="30" customHeight="1">
      <c r="A860" s="170">
        <v>2696</v>
      </c>
      <c r="B860" s="306" t="s">
        <v>517</v>
      </c>
      <c r="C860" s="307">
        <f t="shared" si="13"/>
        <v>8.6722999999999999</v>
      </c>
      <c r="G860" s="307">
        <f>G856</f>
        <v>9.5299999999999994</v>
      </c>
    </row>
    <row r="861" spans="1:7" ht="30" customHeight="1">
      <c r="A861" s="170">
        <v>6116</v>
      </c>
      <c r="B861" s="306" t="s">
        <v>516</v>
      </c>
      <c r="C861" s="307">
        <f t="shared" si="13"/>
        <v>7.0798000000000005</v>
      </c>
      <c r="G861" s="307">
        <f>G758</f>
        <v>7.78</v>
      </c>
    </row>
    <row r="862" spans="1:7" ht="30" customHeight="1">
      <c r="A862" s="170">
        <v>122</v>
      </c>
      <c r="B862" s="306" t="s">
        <v>746</v>
      </c>
      <c r="C862" s="307">
        <f t="shared" si="13"/>
        <v>25.898600000000002</v>
      </c>
      <c r="G862" s="307">
        <f>G857</f>
        <v>28.46</v>
      </c>
    </row>
    <row r="863" spans="1:7" ht="30" customHeight="1">
      <c r="A863" s="170">
        <v>3659</v>
      </c>
      <c r="B863" s="306" t="s">
        <v>879</v>
      </c>
      <c r="C863" s="307">
        <f t="shared" si="13"/>
        <v>6.1970999999999998</v>
      </c>
      <c r="G863" s="307">
        <v>6.81</v>
      </c>
    </row>
    <row r="864" spans="1:7" ht="30" customHeight="1">
      <c r="A864" s="170">
        <v>20083</v>
      </c>
      <c r="B864" s="306" t="s">
        <v>747</v>
      </c>
      <c r="C864" s="307">
        <f t="shared" si="13"/>
        <v>30.676100000000002</v>
      </c>
      <c r="G864" s="307">
        <f>G858</f>
        <v>33.71</v>
      </c>
    </row>
    <row r="865" spans="1:7" ht="30" customHeight="1">
      <c r="A865" s="170">
        <v>6116</v>
      </c>
      <c r="B865" s="306" t="s">
        <v>516</v>
      </c>
      <c r="C865" s="307">
        <f t="shared" si="13"/>
        <v>7.0798000000000005</v>
      </c>
      <c r="G865" s="307">
        <f>G861</f>
        <v>7.78</v>
      </c>
    </row>
    <row r="866" spans="1:7" ht="30" customHeight="1">
      <c r="A866" s="170">
        <v>2696</v>
      </c>
      <c r="B866" s="306" t="s">
        <v>517</v>
      </c>
      <c r="C866" s="307">
        <f t="shared" si="13"/>
        <v>8.6722999999999999</v>
      </c>
      <c r="G866" s="307">
        <f>G860</f>
        <v>9.5299999999999994</v>
      </c>
    </row>
    <row r="867" spans="1:7" ht="30" customHeight="1">
      <c r="A867" s="170">
        <v>3660</v>
      </c>
      <c r="B867" s="306" t="s">
        <v>881</v>
      </c>
      <c r="C867" s="307">
        <f t="shared" si="13"/>
        <v>10.9473</v>
      </c>
      <c r="G867" s="307">
        <v>12.03</v>
      </c>
    </row>
    <row r="868" spans="1:7" ht="30" customHeight="1">
      <c r="A868" s="170">
        <v>122</v>
      </c>
      <c r="B868" s="306" t="s">
        <v>746</v>
      </c>
      <c r="C868" s="307">
        <f t="shared" si="13"/>
        <v>25.898600000000002</v>
      </c>
      <c r="G868" s="307">
        <f>G862</f>
        <v>28.46</v>
      </c>
    </row>
    <row r="869" spans="1:7" ht="30" customHeight="1">
      <c r="A869" s="170">
        <v>20083</v>
      </c>
      <c r="B869" s="306" t="s">
        <v>747</v>
      </c>
      <c r="C869" s="307">
        <f t="shared" si="13"/>
        <v>30.676100000000002</v>
      </c>
      <c r="G869" s="307">
        <f>G864</f>
        <v>33.71</v>
      </c>
    </row>
    <row r="870" spans="1:7" ht="30" customHeight="1">
      <c r="A870" s="170">
        <v>2696</v>
      </c>
      <c r="B870" s="306" t="s">
        <v>517</v>
      </c>
      <c r="C870" s="307">
        <f t="shared" si="13"/>
        <v>8.6722999999999999</v>
      </c>
      <c r="G870" s="307">
        <f>G866</f>
        <v>9.5299999999999994</v>
      </c>
    </row>
    <row r="871" spans="1:7" ht="30" customHeight="1">
      <c r="A871" s="170">
        <v>6116</v>
      </c>
      <c r="B871" s="306" t="s">
        <v>516</v>
      </c>
      <c r="C871" s="307">
        <f t="shared" si="13"/>
        <v>7.0798000000000005</v>
      </c>
      <c r="G871" s="307">
        <f>G865</f>
        <v>7.78</v>
      </c>
    </row>
    <row r="872" spans="1:7" ht="30" customHeight="1">
      <c r="A872" s="170">
        <v>122</v>
      </c>
      <c r="B872" s="306" t="s">
        <v>746</v>
      </c>
      <c r="C872" s="307">
        <f t="shared" si="13"/>
        <v>25.898600000000002</v>
      </c>
      <c r="G872" s="307">
        <f>G862</f>
        <v>28.46</v>
      </c>
    </row>
    <row r="873" spans="1:7" ht="30" customHeight="1">
      <c r="A873" s="170">
        <v>20083</v>
      </c>
      <c r="B873" s="306" t="s">
        <v>747</v>
      </c>
      <c r="C873" s="307">
        <f t="shared" si="13"/>
        <v>30.676100000000002</v>
      </c>
      <c r="G873" s="307">
        <f>G864</f>
        <v>33.71</v>
      </c>
    </row>
    <row r="874" spans="1:7" ht="30" customHeight="1">
      <c r="A874" s="170">
        <v>3875</v>
      </c>
      <c r="B874" s="306" t="s">
        <v>883</v>
      </c>
      <c r="C874" s="307">
        <f t="shared" si="13"/>
        <v>1.7563</v>
      </c>
      <c r="G874" s="307">
        <v>1.93</v>
      </c>
    </row>
    <row r="875" spans="1:7" ht="30" customHeight="1">
      <c r="A875" s="170">
        <v>2696</v>
      </c>
      <c r="B875" s="306" t="s">
        <v>517</v>
      </c>
      <c r="C875" s="307">
        <f t="shared" si="13"/>
        <v>8.6722999999999999</v>
      </c>
      <c r="G875" s="307">
        <f>G870</f>
        <v>9.5299999999999994</v>
      </c>
    </row>
    <row r="876" spans="1:7" ht="30" customHeight="1">
      <c r="A876" s="170">
        <v>6115</v>
      </c>
      <c r="B876" s="306" t="s">
        <v>509</v>
      </c>
      <c r="C876" s="307">
        <f t="shared" si="13"/>
        <v>6.4064000000000005</v>
      </c>
      <c r="G876" s="307">
        <f>G851</f>
        <v>7.04</v>
      </c>
    </row>
    <row r="877" spans="1:7" ht="30" customHeight="1">
      <c r="A877" s="170">
        <v>122</v>
      </c>
      <c r="B877" s="306" t="s">
        <v>746</v>
      </c>
      <c r="C877" s="307">
        <f t="shared" si="13"/>
        <v>25.898600000000002</v>
      </c>
      <c r="G877" s="307">
        <f>G872</f>
        <v>28.46</v>
      </c>
    </row>
    <row r="878" spans="1:7" ht="30" customHeight="1">
      <c r="A878" s="170">
        <v>20083</v>
      </c>
      <c r="B878" s="306" t="s">
        <v>747</v>
      </c>
      <c r="C878" s="307">
        <f t="shared" si="13"/>
        <v>30.676100000000002</v>
      </c>
      <c r="G878" s="307">
        <f>G873</f>
        <v>33.71</v>
      </c>
    </row>
    <row r="879" spans="1:7" ht="30" customHeight="1">
      <c r="A879" s="170">
        <v>3898</v>
      </c>
      <c r="B879" s="306" t="s">
        <v>885</v>
      </c>
      <c r="C879" s="307">
        <f t="shared" si="13"/>
        <v>2.9757000000000002</v>
      </c>
      <c r="G879" s="307">
        <v>3.27</v>
      </c>
    </row>
    <row r="880" spans="1:7" ht="30" customHeight="1">
      <c r="A880" s="170">
        <v>2696</v>
      </c>
      <c r="B880" s="306" t="s">
        <v>517</v>
      </c>
      <c r="C880" s="307">
        <f t="shared" si="13"/>
        <v>8.6722999999999999</v>
      </c>
      <c r="G880" s="307">
        <f>G875</f>
        <v>9.5299999999999994</v>
      </c>
    </row>
    <row r="881" spans="1:7" ht="30" customHeight="1">
      <c r="A881" s="170">
        <v>6115</v>
      </c>
      <c r="B881" s="306" t="s">
        <v>509</v>
      </c>
      <c r="C881" s="307">
        <f t="shared" si="13"/>
        <v>6.4064000000000005</v>
      </c>
      <c r="G881" s="307">
        <f>G876</f>
        <v>7.04</v>
      </c>
    </row>
    <row r="882" spans="1:7" ht="30" customHeight="1">
      <c r="A882" s="170">
        <v>122</v>
      </c>
      <c r="B882" s="306" t="s">
        <v>746</v>
      </c>
      <c r="C882" s="307">
        <f t="shared" si="13"/>
        <v>25.898600000000002</v>
      </c>
      <c r="G882" s="307">
        <f>G877</f>
        <v>28.46</v>
      </c>
    </row>
    <row r="883" spans="1:7" ht="30" customHeight="1">
      <c r="A883" s="170">
        <v>3899</v>
      </c>
      <c r="B883" s="306" t="s">
        <v>887</v>
      </c>
      <c r="C883" s="307">
        <f t="shared" si="13"/>
        <v>3.6581999999999999</v>
      </c>
      <c r="G883" s="307">
        <v>4.0199999999999996</v>
      </c>
    </row>
    <row r="884" spans="1:7" ht="30" customHeight="1">
      <c r="A884" s="170">
        <v>20083</v>
      </c>
      <c r="B884" s="306" t="s">
        <v>747</v>
      </c>
      <c r="C884" s="307">
        <f t="shared" si="13"/>
        <v>30.676100000000002</v>
      </c>
      <c r="G884" s="307">
        <f>G878</f>
        <v>33.71</v>
      </c>
    </row>
    <row r="885" spans="1:7" ht="30" customHeight="1">
      <c r="A885" s="170">
        <v>6115</v>
      </c>
      <c r="B885" s="306" t="s">
        <v>509</v>
      </c>
      <c r="C885" s="307">
        <f t="shared" si="13"/>
        <v>6.4064000000000005</v>
      </c>
      <c r="G885" s="307">
        <f>G881</f>
        <v>7.04</v>
      </c>
    </row>
    <row r="886" spans="1:7" ht="30" customHeight="1">
      <c r="A886" s="170">
        <v>2696</v>
      </c>
      <c r="B886" s="306" t="s">
        <v>517</v>
      </c>
      <c r="C886" s="307">
        <f t="shared" si="13"/>
        <v>8.6722999999999999</v>
      </c>
      <c r="G886" s="307">
        <f>G880</f>
        <v>9.5299999999999994</v>
      </c>
    </row>
    <row r="887" spans="1:7" ht="30" customHeight="1">
      <c r="A887" s="170">
        <v>20042</v>
      </c>
      <c r="B887" s="306" t="s">
        <v>889</v>
      </c>
      <c r="C887" s="307">
        <f t="shared" si="13"/>
        <v>2.7755000000000001</v>
      </c>
      <c r="G887" s="307">
        <v>3.05</v>
      </c>
    </row>
    <row r="888" spans="1:7" ht="30" customHeight="1">
      <c r="A888" s="170">
        <v>6116</v>
      </c>
      <c r="B888" s="306" t="s">
        <v>516</v>
      </c>
      <c r="C888" s="307">
        <f t="shared" si="13"/>
        <v>7.0798000000000005</v>
      </c>
      <c r="G888" s="307">
        <f>G871</f>
        <v>7.78</v>
      </c>
    </row>
    <row r="889" spans="1:7" ht="30" customHeight="1">
      <c r="A889" s="170">
        <v>2696</v>
      </c>
      <c r="B889" s="306" t="s">
        <v>517</v>
      </c>
      <c r="C889" s="307">
        <f t="shared" si="13"/>
        <v>8.6722999999999999</v>
      </c>
      <c r="G889" s="307">
        <f>G886</f>
        <v>9.5299999999999994</v>
      </c>
    </row>
    <row r="890" spans="1:7" ht="30" customHeight="1">
      <c r="A890" s="170">
        <v>20043</v>
      </c>
      <c r="B890" s="306" t="s">
        <v>891</v>
      </c>
      <c r="C890" s="307">
        <f t="shared" si="13"/>
        <v>3.0211999999999999</v>
      </c>
      <c r="G890" s="307">
        <v>3.32</v>
      </c>
    </row>
    <row r="891" spans="1:7" ht="30" customHeight="1">
      <c r="A891" s="170">
        <v>6116</v>
      </c>
      <c r="B891" s="306" t="s">
        <v>516</v>
      </c>
      <c r="C891" s="307">
        <f t="shared" si="13"/>
        <v>7.0798000000000005</v>
      </c>
      <c r="G891" s="307">
        <f>G888</f>
        <v>7.78</v>
      </c>
    </row>
    <row r="892" spans="1:7" ht="30" customHeight="1">
      <c r="A892" s="170">
        <v>2696</v>
      </c>
      <c r="B892" s="306" t="s">
        <v>517</v>
      </c>
      <c r="C892" s="307">
        <f t="shared" si="13"/>
        <v>8.6722999999999999</v>
      </c>
      <c r="G892" s="307">
        <f>G886</f>
        <v>9.5299999999999994</v>
      </c>
    </row>
    <row r="893" spans="1:7" ht="30" customHeight="1">
      <c r="A893" s="170">
        <v>20046</v>
      </c>
      <c r="B893" s="306" t="s">
        <v>893</v>
      </c>
      <c r="C893" s="307">
        <f t="shared" si="13"/>
        <v>8.1809000000000012</v>
      </c>
      <c r="G893" s="307">
        <v>8.99</v>
      </c>
    </row>
    <row r="894" spans="1:7" ht="30" customHeight="1">
      <c r="A894" s="170">
        <v>6116</v>
      </c>
      <c r="B894" s="306" t="s">
        <v>516</v>
      </c>
      <c r="C894" s="307">
        <f t="shared" si="13"/>
        <v>7.0798000000000005</v>
      </c>
      <c r="G894" s="307">
        <f>G888</f>
        <v>7.78</v>
      </c>
    </row>
    <row r="895" spans="1:7" ht="30" customHeight="1">
      <c r="A895" s="170">
        <v>2696</v>
      </c>
      <c r="B895" s="306" t="s">
        <v>517</v>
      </c>
      <c r="C895" s="307">
        <f t="shared" si="13"/>
        <v>8.6722999999999999</v>
      </c>
      <c r="G895" s="307">
        <f>G892</f>
        <v>9.5299999999999994</v>
      </c>
    </row>
    <row r="896" spans="1:7" ht="30" customHeight="1">
      <c r="A896" s="170">
        <v>122</v>
      </c>
      <c r="B896" s="306" t="s">
        <v>746</v>
      </c>
      <c r="C896" s="307">
        <f t="shared" si="13"/>
        <v>25.898600000000002</v>
      </c>
      <c r="G896" s="307">
        <f>G882</f>
        <v>28.46</v>
      </c>
    </row>
    <row r="897" spans="1:7" ht="30" customHeight="1">
      <c r="A897" s="170">
        <v>20083</v>
      </c>
      <c r="B897" s="306" t="s">
        <v>747</v>
      </c>
      <c r="C897" s="307">
        <f t="shared" si="13"/>
        <v>30.676100000000002</v>
      </c>
      <c r="G897" s="307">
        <f>G884</f>
        <v>33.71</v>
      </c>
    </row>
    <row r="898" spans="1:7" ht="30" customHeight="1">
      <c r="A898" s="170">
        <v>7097</v>
      </c>
      <c r="B898" s="306" t="s">
        <v>895</v>
      </c>
      <c r="C898" s="307">
        <f t="shared" si="13"/>
        <v>4.1405000000000003</v>
      </c>
      <c r="G898" s="307">
        <v>4.55</v>
      </c>
    </row>
    <row r="899" spans="1:7" ht="30" customHeight="1">
      <c r="A899" s="170">
        <v>2696</v>
      </c>
      <c r="B899" s="306" t="s">
        <v>517</v>
      </c>
      <c r="C899" s="307">
        <f t="shared" si="13"/>
        <v>8.6722999999999999</v>
      </c>
      <c r="G899" s="307">
        <f>G892</f>
        <v>9.5299999999999994</v>
      </c>
    </row>
    <row r="900" spans="1:7" ht="30" customHeight="1">
      <c r="A900" s="170">
        <v>6115</v>
      </c>
      <c r="B900" s="306" t="s">
        <v>509</v>
      </c>
      <c r="C900" s="307">
        <f t="shared" si="13"/>
        <v>6.4064000000000005</v>
      </c>
      <c r="G900" s="307">
        <f>G881</f>
        <v>7.04</v>
      </c>
    </row>
    <row r="901" spans="1:7" ht="30" customHeight="1">
      <c r="A901" s="170">
        <v>122</v>
      </c>
      <c r="B901" s="306" t="s">
        <v>746</v>
      </c>
      <c r="C901" s="307">
        <f t="shared" si="13"/>
        <v>25.898600000000002</v>
      </c>
      <c r="G901" s="307">
        <f>G896</f>
        <v>28.46</v>
      </c>
    </row>
    <row r="902" spans="1:7" ht="30" customHeight="1">
      <c r="A902" s="170">
        <v>20083</v>
      </c>
      <c r="B902" s="306" t="s">
        <v>747</v>
      </c>
      <c r="C902" s="307">
        <f t="shared" si="13"/>
        <v>30.676100000000002</v>
      </c>
      <c r="G902" s="307">
        <f>G897</f>
        <v>33.71</v>
      </c>
    </row>
    <row r="903" spans="1:7" ht="30" customHeight="1">
      <c r="A903" s="170">
        <v>11658</v>
      </c>
      <c r="B903" s="306" t="s">
        <v>897</v>
      </c>
      <c r="C903" s="307">
        <f t="shared" si="13"/>
        <v>10.710699999999999</v>
      </c>
      <c r="G903" s="307">
        <v>11.77</v>
      </c>
    </row>
    <row r="904" spans="1:7" ht="30" customHeight="1">
      <c r="A904" s="170">
        <v>6115</v>
      </c>
      <c r="B904" s="306" t="s">
        <v>509</v>
      </c>
      <c r="C904" s="307">
        <f t="shared" si="13"/>
        <v>6.4064000000000005</v>
      </c>
      <c r="G904" s="307">
        <f>G900</f>
        <v>7.04</v>
      </c>
    </row>
    <row r="905" spans="1:7" ht="30" customHeight="1">
      <c r="A905" s="170">
        <v>2696</v>
      </c>
      <c r="B905" s="306" t="s">
        <v>517</v>
      </c>
      <c r="C905" s="307">
        <f t="shared" si="13"/>
        <v>8.6722999999999999</v>
      </c>
      <c r="G905" s="307">
        <f>G899</f>
        <v>9.5299999999999994</v>
      </c>
    </row>
    <row r="906" spans="1:7" ht="30" customHeight="1">
      <c r="A906" s="170">
        <v>11657</v>
      </c>
      <c r="B906" s="306" t="s">
        <v>899</v>
      </c>
      <c r="C906" s="307">
        <f t="shared" ref="C906:C969" si="14">G906*0.91</f>
        <v>7.7622999999999998</v>
      </c>
      <c r="G906" s="307">
        <v>8.5299999999999994</v>
      </c>
    </row>
    <row r="907" spans="1:7" ht="30" customHeight="1">
      <c r="A907" s="170">
        <v>20078</v>
      </c>
      <c r="B907" s="306" t="s">
        <v>900</v>
      </c>
      <c r="C907" s="307">
        <f t="shared" si="14"/>
        <v>21.8764</v>
      </c>
      <c r="G907" s="307">
        <v>24.04</v>
      </c>
    </row>
    <row r="908" spans="1:7" ht="30" customHeight="1">
      <c r="A908" s="170">
        <v>296</v>
      </c>
      <c r="B908" s="306" t="s">
        <v>901</v>
      </c>
      <c r="C908" s="307">
        <f t="shared" si="14"/>
        <v>0.69159999999999999</v>
      </c>
      <c r="G908" s="307">
        <v>0.76</v>
      </c>
    </row>
    <row r="909" spans="1:7" ht="30" customHeight="1">
      <c r="A909" s="170">
        <v>297</v>
      </c>
      <c r="B909" s="306" t="s">
        <v>902</v>
      </c>
      <c r="C909" s="307">
        <f t="shared" si="14"/>
        <v>0.88270000000000004</v>
      </c>
      <c r="G909" s="307">
        <v>0.97</v>
      </c>
    </row>
    <row r="910" spans="1:7" ht="30" customHeight="1">
      <c r="A910" s="170">
        <v>2696</v>
      </c>
      <c r="B910" s="306" t="s">
        <v>517</v>
      </c>
      <c r="C910" s="307">
        <f t="shared" si="14"/>
        <v>8.6722999999999999</v>
      </c>
      <c r="G910" s="307">
        <f>G905</f>
        <v>9.5299999999999994</v>
      </c>
    </row>
    <row r="911" spans="1:7" ht="30" customHeight="1">
      <c r="A911" s="170">
        <v>6115</v>
      </c>
      <c r="B911" s="306" t="s">
        <v>509</v>
      </c>
      <c r="C911" s="307">
        <f t="shared" si="14"/>
        <v>6.4064000000000005</v>
      </c>
      <c r="G911" s="307">
        <f>G904</f>
        <v>7.04</v>
      </c>
    </row>
    <row r="912" spans="1:7" ht="30" customHeight="1">
      <c r="A912" s="170">
        <v>209835</v>
      </c>
      <c r="B912" s="306" t="s">
        <v>904</v>
      </c>
      <c r="C912" s="307">
        <f t="shared" si="14"/>
        <v>2.2749999999999999</v>
      </c>
      <c r="G912" s="307">
        <v>2.5</v>
      </c>
    </row>
    <row r="913" spans="1:7" ht="30" customHeight="1">
      <c r="A913" s="170">
        <v>20083</v>
      </c>
      <c r="B913" s="306" t="s">
        <v>747</v>
      </c>
      <c r="C913" s="307">
        <f t="shared" si="14"/>
        <v>30.676100000000002</v>
      </c>
      <c r="G913" s="307">
        <f>G902</f>
        <v>33.71</v>
      </c>
    </row>
    <row r="914" spans="1:7" ht="30" customHeight="1">
      <c r="A914" s="170">
        <v>122</v>
      </c>
      <c r="B914" s="306" t="s">
        <v>746</v>
      </c>
      <c r="C914" s="307">
        <f t="shared" si="14"/>
        <v>25.898600000000002</v>
      </c>
      <c r="G914" s="307">
        <f>G901</f>
        <v>28.46</v>
      </c>
    </row>
    <row r="915" spans="1:7" ht="30" customHeight="1">
      <c r="A915" s="170">
        <v>6116</v>
      </c>
      <c r="B915" s="306" t="s">
        <v>516</v>
      </c>
      <c r="C915" s="307">
        <f t="shared" si="14"/>
        <v>7.0798000000000005</v>
      </c>
      <c r="G915" s="307">
        <f>G871</f>
        <v>7.78</v>
      </c>
    </row>
    <row r="916" spans="1:7" ht="30" customHeight="1">
      <c r="A916" s="170">
        <v>2696</v>
      </c>
      <c r="B916" s="306" t="s">
        <v>517</v>
      </c>
      <c r="C916" s="307">
        <f t="shared" si="14"/>
        <v>8.6722999999999999</v>
      </c>
      <c r="G916" s="307">
        <f>G910</f>
        <v>9.5299999999999994</v>
      </c>
    </row>
    <row r="917" spans="1:7" ht="30" customHeight="1">
      <c r="A917" s="170">
        <v>20083</v>
      </c>
      <c r="B917" s="306" t="s">
        <v>747</v>
      </c>
      <c r="C917" s="307">
        <f t="shared" si="14"/>
        <v>30.676100000000002</v>
      </c>
      <c r="G917" s="307">
        <f>G913</f>
        <v>33.71</v>
      </c>
    </row>
    <row r="918" spans="1:7" ht="30" customHeight="1">
      <c r="A918" s="170">
        <v>209838</v>
      </c>
      <c r="B918" s="306" t="s">
        <v>906</v>
      </c>
      <c r="C918" s="307">
        <f t="shared" si="14"/>
        <v>4.3134000000000006</v>
      </c>
      <c r="G918" s="307">
        <v>4.74</v>
      </c>
    </row>
    <row r="919" spans="1:7" ht="30" customHeight="1">
      <c r="A919" s="170">
        <v>122</v>
      </c>
      <c r="B919" s="306" t="s">
        <v>746</v>
      </c>
      <c r="C919" s="307">
        <f t="shared" si="14"/>
        <v>25.898600000000002</v>
      </c>
      <c r="G919" s="307">
        <f>G914</f>
        <v>28.46</v>
      </c>
    </row>
    <row r="920" spans="1:7" ht="30" customHeight="1">
      <c r="A920" s="170">
        <v>6116</v>
      </c>
      <c r="B920" s="306" t="s">
        <v>516</v>
      </c>
      <c r="C920" s="307">
        <f t="shared" si="14"/>
        <v>7.0798000000000005</v>
      </c>
      <c r="G920" s="307">
        <f>G915</f>
        <v>7.78</v>
      </c>
    </row>
    <row r="921" spans="1:7" ht="30" customHeight="1">
      <c r="A921" s="170">
        <v>2696</v>
      </c>
      <c r="B921" s="306" t="s">
        <v>517</v>
      </c>
      <c r="C921" s="307">
        <f t="shared" si="14"/>
        <v>8.6722999999999999</v>
      </c>
      <c r="G921" s="307">
        <f>G916</f>
        <v>9.5299999999999994</v>
      </c>
    </row>
    <row r="922" spans="1:7" ht="30" customHeight="1">
      <c r="A922" s="170">
        <v>20083</v>
      </c>
      <c r="B922" s="306" t="s">
        <v>747</v>
      </c>
      <c r="C922" s="307">
        <f t="shared" si="14"/>
        <v>30.676100000000002</v>
      </c>
      <c r="G922" s="307">
        <f>G917</f>
        <v>33.71</v>
      </c>
    </row>
    <row r="923" spans="1:7" ht="30" customHeight="1">
      <c r="A923" s="170">
        <v>209837</v>
      </c>
      <c r="B923" s="306" t="s">
        <v>908</v>
      </c>
      <c r="C923" s="307">
        <f t="shared" si="14"/>
        <v>4.8867000000000003</v>
      </c>
      <c r="G923" s="307">
        <v>5.37</v>
      </c>
    </row>
    <row r="924" spans="1:7" ht="30" customHeight="1">
      <c r="A924" s="170">
        <v>122</v>
      </c>
      <c r="B924" s="306" t="s">
        <v>746</v>
      </c>
      <c r="C924" s="307">
        <f t="shared" si="14"/>
        <v>25.898600000000002</v>
      </c>
      <c r="G924" s="307">
        <f>G919</f>
        <v>28.46</v>
      </c>
    </row>
    <row r="925" spans="1:7" ht="30" customHeight="1">
      <c r="A925" s="170">
        <v>6116</v>
      </c>
      <c r="B925" s="306" t="s">
        <v>516</v>
      </c>
      <c r="C925" s="307">
        <f t="shared" si="14"/>
        <v>7.0798000000000005</v>
      </c>
      <c r="G925" s="307">
        <f>G920</f>
        <v>7.78</v>
      </c>
    </row>
    <row r="926" spans="1:7" ht="30" customHeight="1">
      <c r="A926" s="170">
        <v>2696</v>
      </c>
      <c r="B926" s="306" t="s">
        <v>517</v>
      </c>
      <c r="C926" s="307">
        <f t="shared" si="14"/>
        <v>8.6722999999999999</v>
      </c>
      <c r="G926" s="307">
        <f>G921</f>
        <v>9.5299999999999994</v>
      </c>
    </row>
    <row r="927" spans="1:7" ht="30" customHeight="1">
      <c r="A927" s="170">
        <v>9836</v>
      </c>
      <c r="B927" s="306" t="s">
        <v>567</v>
      </c>
      <c r="C927" s="307">
        <f t="shared" si="14"/>
        <v>6.5975000000000001</v>
      </c>
      <c r="G927" s="307">
        <v>7.25</v>
      </c>
    </row>
    <row r="928" spans="1:7" ht="30" customHeight="1">
      <c r="A928" s="170">
        <v>2696</v>
      </c>
      <c r="B928" s="306" t="s">
        <v>517</v>
      </c>
      <c r="C928" s="307">
        <f t="shared" si="14"/>
        <v>8.6722999999999999</v>
      </c>
      <c r="G928" s="307">
        <f>G921</f>
        <v>9.5299999999999994</v>
      </c>
    </row>
    <row r="929" spans="1:7" ht="30" customHeight="1">
      <c r="A929" s="170">
        <v>6111</v>
      </c>
      <c r="B929" s="306" t="s">
        <v>535</v>
      </c>
      <c r="C929" s="307">
        <f t="shared" si="14"/>
        <v>6.4064000000000005</v>
      </c>
      <c r="G929" s="307">
        <f>G951</f>
        <v>7.04</v>
      </c>
    </row>
    <row r="930" spans="1:7" ht="30" customHeight="1">
      <c r="A930" s="170">
        <v>1379</v>
      </c>
      <c r="B930" s="306" t="s">
        <v>549</v>
      </c>
      <c r="C930" s="307">
        <f t="shared" si="14"/>
        <v>0.50050000000000006</v>
      </c>
      <c r="G930" s="307">
        <v>0.55000000000000004</v>
      </c>
    </row>
    <row r="931" spans="1:7" ht="30" customHeight="1">
      <c r="A931" s="170">
        <v>7258</v>
      </c>
      <c r="B931" s="306" t="s">
        <v>840</v>
      </c>
      <c r="C931" s="307">
        <f t="shared" si="14"/>
        <v>1.1648000000000001</v>
      </c>
      <c r="G931" s="307">
        <v>1.28</v>
      </c>
    </row>
    <row r="932" spans="1:7" ht="30" customHeight="1">
      <c r="A932" s="170">
        <v>6014</v>
      </c>
      <c r="B932" s="306" t="s">
        <v>841</v>
      </c>
      <c r="C932" s="307">
        <f t="shared" si="14"/>
        <v>347.21960000000001</v>
      </c>
      <c r="G932" s="616">
        <v>381.56</v>
      </c>
    </row>
    <row r="933" spans="1:7" ht="30" customHeight="1">
      <c r="A933" s="170">
        <v>6028</v>
      </c>
      <c r="B933" s="306" t="s">
        <v>842</v>
      </c>
      <c r="C933" s="307">
        <f t="shared" si="14"/>
        <v>296.66000000000003</v>
      </c>
      <c r="G933" s="616">
        <v>326</v>
      </c>
    </row>
    <row r="934" spans="1:7" ht="30" customHeight="1">
      <c r="A934" s="170">
        <v>6045</v>
      </c>
      <c r="B934" s="306" t="s">
        <v>604</v>
      </c>
      <c r="C934" s="307">
        <f t="shared" si="14"/>
        <v>365.56520000000006</v>
      </c>
      <c r="G934" s="311">
        <v>401.72</v>
      </c>
    </row>
    <row r="935" spans="1:7" ht="30" customHeight="1">
      <c r="A935" s="170">
        <v>6087</v>
      </c>
      <c r="B935" s="306" t="s">
        <v>843</v>
      </c>
      <c r="C935" s="307">
        <f t="shared" si="14"/>
        <v>20.0564</v>
      </c>
      <c r="G935" s="311">
        <v>22.04</v>
      </c>
    </row>
    <row r="936" spans="1:7" ht="30" customHeight="1">
      <c r="A936" s="310" t="s">
        <v>844</v>
      </c>
      <c r="B936" s="314" t="s">
        <v>845</v>
      </c>
      <c r="C936" s="307">
        <f t="shared" si="14"/>
        <v>69.897100000000009</v>
      </c>
      <c r="G936" s="616">
        <v>76.81</v>
      </c>
    </row>
    <row r="937" spans="1:7" ht="30" customHeight="1">
      <c r="A937" s="170">
        <v>4750</v>
      </c>
      <c r="B937" s="306" t="s">
        <v>576</v>
      </c>
      <c r="C937" s="307">
        <f t="shared" si="14"/>
        <v>8.6722999999999999</v>
      </c>
      <c r="G937" s="307">
        <v>9.5299999999999994</v>
      </c>
    </row>
    <row r="938" spans="1:7" ht="30" customHeight="1">
      <c r="A938" s="170">
        <v>6111</v>
      </c>
      <c r="B938" s="306" t="s">
        <v>535</v>
      </c>
      <c r="C938" s="307">
        <f t="shared" si="14"/>
        <v>6.4064000000000005</v>
      </c>
      <c r="G938" s="307">
        <f>G951</f>
        <v>7.04</v>
      </c>
    </row>
    <row r="939" spans="1:7" ht="30" customHeight="1">
      <c r="A939" s="170">
        <v>122</v>
      </c>
      <c r="B939" s="306" t="s">
        <v>746</v>
      </c>
      <c r="C939" s="307">
        <f t="shared" si="14"/>
        <v>25.898600000000002</v>
      </c>
      <c r="G939" s="307">
        <f>G924</f>
        <v>28.46</v>
      </c>
    </row>
    <row r="940" spans="1:7" ht="30" customHeight="1">
      <c r="A940" s="170">
        <v>20083</v>
      </c>
      <c r="B940" s="306" t="s">
        <v>747</v>
      </c>
      <c r="C940" s="307">
        <f t="shared" si="14"/>
        <v>30.676100000000002</v>
      </c>
      <c r="G940" s="307">
        <f>G946</f>
        <v>33.71</v>
      </c>
    </row>
    <row r="941" spans="1:7" ht="30" customHeight="1">
      <c r="A941" s="170">
        <v>3520</v>
      </c>
      <c r="B941" s="306" t="s">
        <v>867</v>
      </c>
      <c r="C941" s="307">
        <f t="shared" si="14"/>
        <v>4.3043000000000005</v>
      </c>
      <c r="G941" s="307">
        <v>4.7300000000000004</v>
      </c>
    </row>
    <row r="942" spans="1:7" ht="30" customHeight="1">
      <c r="A942" s="170">
        <v>6115</v>
      </c>
      <c r="B942" s="306" t="s">
        <v>509</v>
      </c>
      <c r="C942" s="307">
        <f t="shared" si="14"/>
        <v>6.4064000000000005</v>
      </c>
      <c r="G942" s="307">
        <f>G911</f>
        <v>7.04</v>
      </c>
    </row>
    <row r="943" spans="1:7" ht="30" customHeight="1">
      <c r="A943" s="170">
        <v>2696</v>
      </c>
      <c r="B943" s="306" t="s">
        <v>517</v>
      </c>
      <c r="C943" s="307">
        <f t="shared" si="14"/>
        <v>8.6722999999999999</v>
      </c>
      <c r="G943" s="307">
        <f>G928</f>
        <v>9.5299999999999994</v>
      </c>
    </row>
    <row r="944" spans="1:7" ht="30" customHeight="1">
      <c r="A944" s="170">
        <v>122</v>
      </c>
      <c r="B944" s="306" t="s">
        <v>746</v>
      </c>
      <c r="C944" s="307">
        <f t="shared" si="14"/>
        <v>25.898600000000002</v>
      </c>
      <c r="G944" s="307">
        <f>G939</f>
        <v>28.46</v>
      </c>
    </row>
    <row r="945" spans="1:7" ht="30" customHeight="1">
      <c r="A945" s="170">
        <v>3899</v>
      </c>
      <c r="B945" s="306" t="s">
        <v>887</v>
      </c>
      <c r="C945" s="307">
        <f t="shared" si="14"/>
        <v>3.6581999999999999</v>
      </c>
      <c r="G945" s="307">
        <v>4.0199999999999996</v>
      </c>
    </row>
    <row r="946" spans="1:7" ht="30" customHeight="1">
      <c r="A946" s="170">
        <v>20083</v>
      </c>
      <c r="B946" s="306" t="s">
        <v>747</v>
      </c>
      <c r="C946" s="307">
        <f t="shared" si="14"/>
        <v>30.676100000000002</v>
      </c>
      <c r="G946" s="307">
        <f>G922</f>
        <v>33.71</v>
      </c>
    </row>
    <row r="947" spans="1:7" ht="30" customHeight="1">
      <c r="A947" s="170">
        <v>6115</v>
      </c>
      <c r="B947" s="306" t="s">
        <v>509</v>
      </c>
      <c r="C947" s="307">
        <f t="shared" si="14"/>
        <v>6.4064000000000005</v>
      </c>
      <c r="G947" s="307">
        <f>G942</f>
        <v>7.04</v>
      </c>
    </row>
    <row r="948" spans="1:7" ht="30" customHeight="1">
      <c r="A948" s="170">
        <v>2696</v>
      </c>
      <c r="B948" s="306" t="s">
        <v>517</v>
      </c>
      <c r="C948" s="307">
        <f t="shared" si="14"/>
        <v>8.6722999999999999</v>
      </c>
      <c r="G948" s="307">
        <f>G943</f>
        <v>9.5299999999999994</v>
      </c>
    </row>
    <row r="949" spans="1:7" ht="30" customHeight="1">
      <c r="A949" s="170">
        <v>9836</v>
      </c>
      <c r="B949" s="306" t="s">
        <v>567</v>
      </c>
      <c r="C949" s="307">
        <f t="shared" si="14"/>
        <v>6.5975000000000001</v>
      </c>
      <c r="G949" s="307">
        <v>7.25</v>
      </c>
    </row>
    <row r="950" spans="1:7" ht="30" customHeight="1">
      <c r="A950" s="170">
        <v>2696</v>
      </c>
      <c r="B950" s="306" t="s">
        <v>517</v>
      </c>
      <c r="C950" s="307">
        <f t="shared" si="14"/>
        <v>8.6722999999999999</v>
      </c>
      <c r="G950" s="307">
        <f>G948</f>
        <v>9.5299999999999994</v>
      </c>
    </row>
    <row r="951" spans="1:7" ht="30" customHeight="1">
      <c r="A951" s="170">
        <v>6111</v>
      </c>
      <c r="B951" s="306" t="s">
        <v>535</v>
      </c>
      <c r="C951" s="307">
        <f t="shared" si="14"/>
        <v>6.4064000000000005</v>
      </c>
      <c r="G951" s="307">
        <f>G234</f>
        <v>7.04</v>
      </c>
    </row>
    <row r="952" spans="1:7" ht="30" customHeight="1">
      <c r="A952" s="170">
        <v>9820</v>
      </c>
      <c r="B952" s="306" t="s">
        <v>1290</v>
      </c>
      <c r="C952" s="307">
        <f t="shared" si="14"/>
        <v>51.342200000000005</v>
      </c>
      <c r="G952" s="307">
        <v>56.42</v>
      </c>
    </row>
    <row r="953" spans="1:7" ht="30" customHeight="1">
      <c r="A953" s="170">
        <v>308</v>
      </c>
      <c r="B953" s="306" t="s">
        <v>1291</v>
      </c>
      <c r="C953" s="307">
        <f t="shared" si="14"/>
        <v>25.834900000000001</v>
      </c>
      <c r="G953" s="307">
        <v>28.39</v>
      </c>
    </row>
    <row r="954" spans="1:7" ht="30" customHeight="1">
      <c r="A954" s="170">
        <v>6116</v>
      </c>
      <c r="B954" s="306" t="s">
        <v>516</v>
      </c>
      <c r="C954" s="307">
        <f t="shared" si="14"/>
        <v>7.0798000000000005</v>
      </c>
      <c r="G954" s="307">
        <f>G915</f>
        <v>7.78</v>
      </c>
    </row>
    <row r="955" spans="1:7" ht="30" customHeight="1">
      <c r="A955" s="170">
        <v>2696</v>
      </c>
      <c r="B955" s="306" t="s">
        <v>517</v>
      </c>
      <c r="C955" s="307">
        <f t="shared" si="14"/>
        <v>8.6722999999999999</v>
      </c>
      <c r="G955" s="307">
        <f>G950</f>
        <v>9.5299999999999994</v>
      </c>
    </row>
    <row r="956" spans="1:7" ht="30" customHeight="1">
      <c r="A956" s="170">
        <v>370</v>
      </c>
      <c r="B956" s="306" t="s">
        <v>618</v>
      </c>
      <c r="C956" s="307">
        <f t="shared" si="14"/>
        <v>31.85</v>
      </c>
      <c r="G956" s="307">
        <v>35</v>
      </c>
    </row>
    <row r="957" spans="1:7" ht="30" customHeight="1">
      <c r="A957" s="170">
        <v>1379</v>
      </c>
      <c r="B957" s="306" t="s">
        <v>549</v>
      </c>
      <c r="C957" s="307">
        <f t="shared" si="14"/>
        <v>0.50050000000000006</v>
      </c>
      <c r="G957" s="307">
        <v>0.55000000000000004</v>
      </c>
    </row>
    <row r="958" spans="1:7" ht="30" customHeight="1">
      <c r="A958" s="170">
        <v>546</v>
      </c>
      <c r="B958" s="208" t="s">
        <v>1293</v>
      </c>
      <c r="C958" s="307">
        <f t="shared" si="14"/>
        <v>3.1668000000000003</v>
      </c>
      <c r="G958" s="307">
        <v>3.48</v>
      </c>
    </row>
    <row r="959" spans="1:7" ht="30" customHeight="1">
      <c r="A959" s="170">
        <v>10952</v>
      </c>
      <c r="B959" s="208" t="s">
        <v>642</v>
      </c>
      <c r="C959" s="307">
        <f t="shared" si="14"/>
        <v>4.9686000000000003</v>
      </c>
      <c r="G959" s="307">
        <v>5.46</v>
      </c>
    </row>
    <row r="960" spans="1:7" ht="30" customHeight="1">
      <c r="A960" s="170">
        <v>6111</v>
      </c>
      <c r="B960" s="306" t="s">
        <v>535</v>
      </c>
      <c r="C960" s="307">
        <f t="shared" si="14"/>
        <v>6.4064000000000005</v>
      </c>
      <c r="G960" s="307">
        <f>G951</f>
        <v>7.04</v>
      </c>
    </row>
    <row r="961" spans="1:7" ht="30" customHeight="1">
      <c r="A961" s="170">
        <v>4750</v>
      </c>
      <c r="B961" s="306" t="s">
        <v>576</v>
      </c>
      <c r="C961" s="307">
        <f t="shared" si="14"/>
        <v>8.6722999999999999</v>
      </c>
      <c r="G961" s="307">
        <f>G937</f>
        <v>9.5299999999999994</v>
      </c>
    </row>
    <row r="962" spans="1:7" ht="30" customHeight="1">
      <c r="A962" s="170">
        <v>6110</v>
      </c>
      <c r="B962" s="306" t="s">
        <v>631</v>
      </c>
      <c r="C962" s="307">
        <f t="shared" si="14"/>
        <v>8.19</v>
      </c>
      <c r="G962" s="307">
        <v>9</v>
      </c>
    </row>
    <row r="963" spans="1:7" ht="30" customHeight="1">
      <c r="A963" s="170">
        <v>370</v>
      </c>
      <c r="B963" s="306" t="s">
        <v>618</v>
      </c>
      <c r="C963" s="307">
        <f t="shared" si="14"/>
        <v>31.85</v>
      </c>
      <c r="G963" s="307">
        <f>G956</f>
        <v>35</v>
      </c>
    </row>
    <row r="964" spans="1:7" ht="30" customHeight="1">
      <c r="A964" s="170">
        <v>1379</v>
      </c>
      <c r="B964" s="306" t="s">
        <v>549</v>
      </c>
      <c r="C964" s="307">
        <f t="shared" si="14"/>
        <v>0.50050000000000006</v>
      </c>
      <c r="G964" s="307">
        <f>G957</f>
        <v>0.55000000000000004</v>
      </c>
    </row>
    <row r="965" spans="1:7" ht="30" customHeight="1">
      <c r="A965" s="170">
        <v>6212</v>
      </c>
      <c r="B965" s="208" t="s">
        <v>593</v>
      </c>
      <c r="C965" s="307">
        <f t="shared" si="14"/>
        <v>6.6794000000000002</v>
      </c>
      <c r="G965" s="307">
        <v>7.34</v>
      </c>
    </row>
    <row r="966" spans="1:7" ht="30" customHeight="1">
      <c r="A966" s="170">
        <v>4721</v>
      </c>
      <c r="B966" s="208" t="s">
        <v>1246</v>
      </c>
      <c r="C966" s="307">
        <f t="shared" si="14"/>
        <v>81.900000000000006</v>
      </c>
      <c r="G966" s="307">
        <v>90</v>
      </c>
    </row>
    <row r="967" spans="1:7" ht="30" customHeight="1">
      <c r="A967" s="170">
        <v>4718</v>
      </c>
      <c r="B967" s="306" t="s">
        <v>1295</v>
      </c>
      <c r="C967" s="307">
        <f t="shared" si="14"/>
        <v>86.45</v>
      </c>
      <c r="G967" s="307">
        <v>95</v>
      </c>
    </row>
    <row r="968" spans="1:7" ht="30" customHeight="1">
      <c r="A968" s="170">
        <v>6111</v>
      </c>
      <c r="B968" s="306" t="s">
        <v>535</v>
      </c>
      <c r="C968" s="307">
        <f t="shared" si="14"/>
        <v>6.4064000000000005</v>
      </c>
      <c r="G968" s="307">
        <f>G960</f>
        <v>7.04</v>
      </c>
    </row>
    <row r="969" spans="1:7" ht="30" customHeight="1">
      <c r="A969" s="170">
        <v>4750</v>
      </c>
      <c r="B969" s="306" t="s">
        <v>576</v>
      </c>
      <c r="C969" s="307">
        <f t="shared" si="14"/>
        <v>8.6722999999999999</v>
      </c>
      <c r="G969" s="307">
        <f>G961</f>
        <v>9.5299999999999994</v>
      </c>
    </row>
    <row r="970" spans="1:7" ht="30" customHeight="1">
      <c r="A970" s="170">
        <v>10532</v>
      </c>
      <c r="B970" s="306" t="s">
        <v>675</v>
      </c>
      <c r="C970" s="307">
        <f t="shared" ref="C970:C1033" si="15">G970*0.91</f>
        <v>2.0474999999999999</v>
      </c>
      <c r="G970" s="307">
        <v>2.25</v>
      </c>
    </row>
    <row r="971" spans="1:7" ht="30" customHeight="1">
      <c r="A971" s="170">
        <v>1379</v>
      </c>
      <c r="B971" s="306" t="s">
        <v>549</v>
      </c>
      <c r="C971" s="307">
        <f t="shared" si="15"/>
        <v>0.50050000000000006</v>
      </c>
      <c r="G971" s="307">
        <f>G964</f>
        <v>0.55000000000000004</v>
      </c>
    </row>
    <row r="972" spans="1:7" ht="30" customHeight="1">
      <c r="A972" s="170">
        <v>1106</v>
      </c>
      <c r="B972" s="306" t="s">
        <v>643</v>
      </c>
      <c r="C972" s="307">
        <f t="shared" si="15"/>
        <v>1.0465</v>
      </c>
      <c r="G972" s="307">
        <v>1.1499999999999999</v>
      </c>
    </row>
    <row r="973" spans="1:7" ht="30" customHeight="1">
      <c r="A973" s="170">
        <v>370</v>
      </c>
      <c r="B973" s="306" t="s">
        <v>618</v>
      </c>
      <c r="C973" s="307">
        <f t="shared" si="15"/>
        <v>31.85</v>
      </c>
      <c r="G973" s="307">
        <f>G963</f>
        <v>35</v>
      </c>
    </row>
    <row r="974" spans="1:7" ht="30" customHeight="1">
      <c r="A974" s="170">
        <v>6111</v>
      </c>
      <c r="B974" s="306" t="s">
        <v>535</v>
      </c>
      <c r="C974" s="307">
        <f t="shared" si="15"/>
        <v>6.4064000000000005</v>
      </c>
      <c r="G974" s="307">
        <f>G968</f>
        <v>7.04</v>
      </c>
    </row>
    <row r="975" spans="1:7" ht="30" customHeight="1">
      <c r="A975" s="170">
        <v>4750</v>
      </c>
      <c r="B975" s="306" t="s">
        <v>576</v>
      </c>
      <c r="C975" s="307">
        <f t="shared" si="15"/>
        <v>8.6722999999999999</v>
      </c>
      <c r="G975" s="307">
        <f>G969</f>
        <v>9.5299999999999994</v>
      </c>
    </row>
    <row r="976" spans="1:7" ht="30" customHeight="1">
      <c r="A976" s="170">
        <v>4791</v>
      </c>
      <c r="B976" s="306" t="s">
        <v>677</v>
      </c>
      <c r="C976" s="307">
        <f t="shared" si="15"/>
        <v>19.4558</v>
      </c>
      <c r="G976" s="307">
        <v>21.38</v>
      </c>
    </row>
    <row r="977" spans="1:7" ht="30" customHeight="1">
      <c r="A977" s="170">
        <v>4014</v>
      </c>
      <c r="B977" s="306" t="s">
        <v>678</v>
      </c>
      <c r="C977" s="307">
        <f t="shared" si="15"/>
        <v>26.9178</v>
      </c>
      <c r="G977" s="307">
        <v>29.58</v>
      </c>
    </row>
    <row r="978" spans="1:7" ht="30" customHeight="1">
      <c r="A978" s="170">
        <v>6111</v>
      </c>
      <c r="B978" s="306" t="s">
        <v>535</v>
      </c>
      <c r="C978" s="307">
        <f t="shared" si="15"/>
        <v>6.4064000000000005</v>
      </c>
      <c r="G978" s="307">
        <f>G968</f>
        <v>7.04</v>
      </c>
    </row>
    <row r="979" spans="1:7" ht="30" customHeight="1">
      <c r="A979" s="170">
        <v>1379</v>
      </c>
      <c r="B979" s="306" t="s">
        <v>549</v>
      </c>
      <c r="C979" s="307">
        <f t="shared" si="15"/>
        <v>0.50050000000000006</v>
      </c>
      <c r="G979" s="307">
        <f>G971</f>
        <v>0.55000000000000004</v>
      </c>
    </row>
    <row r="980" spans="1:7" ht="30" customHeight="1">
      <c r="A980" s="170">
        <v>370</v>
      </c>
      <c r="B980" s="306" t="s">
        <v>618</v>
      </c>
      <c r="C980" s="307">
        <f t="shared" si="15"/>
        <v>31.85</v>
      </c>
      <c r="G980" s="307">
        <f>G973</f>
        <v>35</v>
      </c>
    </row>
    <row r="981" spans="1:7" ht="30" customHeight="1">
      <c r="A981" s="170">
        <v>6111</v>
      </c>
      <c r="B981" s="306" t="s">
        <v>535</v>
      </c>
      <c r="C981" s="307">
        <f t="shared" si="15"/>
        <v>6.4064000000000005</v>
      </c>
      <c r="G981" s="307">
        <f>G974</f>
        <v>7.04</v>
      </c>
    </row>
    <row r="982" spans="1:7" ht="30" customHeight="1">
      <c r="A982" s="170">
        <v>4750</v>
      </c>
      <c r="B982" s="306" t="s">
        <v>576</v>
      </c>
      <c r="C982" s="307">
        <f t="shared" si="15"/>
        <v>8.6722999999999999</v>
      </c>
      <c r="G982" s="307">
        <f>G969</f>
        <v>9.5299999999999994</v>
      </c>
    </row>
    <row r="983" spans="1:7" ht="30" customHeight="1">
      <c r="A983" s="170">
        <v>1372</v>
      </c>
      <c r="B983" s="306" t="s">
        <v>682</v>
      </c>
      <c r="C983" s="307">
        <f t="shared" si="15"/>
        <v>9.4640000000000004</v>
      </c>
      <c r="G983" s="307">
        <v>10.4</v>
      </c>
    </row>
    <row r="984" spans="1:7" ht="30" customHeight="1">
      <c r="A984" s="170">
        <v>1371</v>
      </c>
      <c r="B984" s="306" t="s">
        <v>683</v>
      </c>
      <c r="C984" s="307">
        <f t="shared" si="15"/>
        <v>1.6380000000000001</v>
      </c>
      <c r="G984" s="307">
        <v>1.8</v>
      </c>
    </row>
    <row r="985" spans="1:7" ht="30" customHeight="1">
      <c r="A985" s="170">
        <v>12873</v>
      </c>
      <c r="B985" s="306" t="s">
        <v>518</v>
      </c>
      <c r="C985" s="307">
        <f t="shared" si="15"/>
        <v>8.5175999999999998</v>
      </c>
      <c r="G985" s="307">
        <v>9.36</v>
      </c>
    </row>
    <row r="986" spans="1:7" ht="30" customHeight="1">
      <c r="A986" s="170">
        <v>3777</v>
      </c>
      <c r="B986" s="306" t="s">
        <v>1259</v>
      </c>
      <c r="C986" s="307">
        <f t="shared" si="15"/>
        <v>0.45500000000000002</v>
      </c>
      <c r="G986" s="307">
        <v>0.5</v>
      </c>
    </row>
    <row r="987" spans="1:7" ht="30" customHeight="1">
      <c r="A987" s="170">
        <v>12873</v>
      </c>
      <c r="B987" s="306" t="s">
        <v>518</v>
      </c>
      <c r="C987" s="307">
        <f t="shared" si="15"/>
        <v>8.5175999999999998</v>
      </c>
      <c r="G987" s="307">
        <v>9.36</v>
      </c>
    </row>
    <row r="988" spans="1:7" ht="30" customHeight="1">
      <c r="A988" s="170">
        <v>7701</v>
      </c>
      <c r="B988" s="306" t="s">
        <v>590</v>
      </c>
      <c r="C988" s="307">
        <f t="shared" si="15"/>
        <v>39.2301</v>
      </c>
      <c r="G988" s="307">
        <v>43.11</v>
      </c>
    </row>
    <row r="989" spans="1:7" ht="30" customHeight="1">
      <c r="A989" s="170">
        <v>2696</v>
      </c>
      <c r="B989" s="306" t="s">
        <v>517</v>
      </c>
      <c r="C989" s="307">
        <f t="shared" si="15"/>
        <v>8.6722999999999999</v>
      </c>
      <c r="G989" s="307">
        <f>G950</f>
        <v>9.5299999999999994</v>
      </c>
    </row>
    <row r="990" spans="1:7" ht="30" customHeight="1">
      <c r="A990" s="170">
        <v>6111</v>
      </c>
      <c r="B990" s="306" t="s">
        <v>535</v>
      </c>
      <c r="C990" s="307">
        <f t="shared" si="15"/>
        <v>6.4064000000000005</v>
      </c>
      <c r="G990" s="307">
        <f>G978</f>
        <v>7.04</v>
      </c>
    </row>
    <row r="991" spans="1:7" ht="30" customHeight="1">
      <c r="A991" s="170">
        <v>206299</v>
      </c>
      <c r="B991" s="306" t="s">
        <v>914</v>
      </c>
      <c r="C991" s="307">
        <f t="shared" si="15"/>
        <v>52.78</v>
      </c>
      <c r="G991" s="307">
        <v>58</v>
      </c>
    </row>
    <row r="992" spans="1:7" ht="30" customHeight="1">
      <c r="A992" s="170">
        <v>6115</v>
      </c>
      <c r="B992" s="306" t="s">
        <v>509</v>
      </c>
      <c r="C992" s="307">
        <f t="shared" si="15"/>
        <v>6.4064000000000005</v>
      </c>
      <c r="G992" s="307">
        <f>G947</f>
        <v>7.04</v>
      </c>
    </row>
    <row r="993" spans="1:7" ht="30" customHeight="1">
      <c r="A993" s="170">
        <v>2696</v>
      </c>
      <c r="B993" s="306" t="s">
        <v>517</v>
      </c>
      <c r="C993" s="307">
        <f t="shared" si="15"/>
        <v>8.6722999999999999</v>
      </c>
      <c r="G993" s="307">
        <f>G989</f>
        <v>9.5299999999999994</v>
      </c>
    </row>
    <row r="994" spans="1:7" ht="30" customHeight="1">
      <c r="A994" s="170">
        <v>3470</v>
      </c>
      <c r="B994" s="306" t="s">
        <v>916</v>
      </c>
      <c r="C994" s="307">
        <f t="shared" si="15"/>
        <v>43.652700000000003</v>
      </c>
      <c r="G994" s="307">
        <v>47.97</v>
      </c>
    </row>
    <row r="995" spans="1:7" ht="30" customHeight="1">
      <c r="A995" s="170">
        <v>6115</v>
      </c>
      <c r="B995" s="306" t="s">
        <v>509</v>
      </c>
      <c r="C995" s="307">
        <f t="shared" si="15"/>
        <v>6.4064000000000005</v>
      </c>
      <c r="G995" s="307">
        <f>G992</f>
        <v>7.04</v>
      </c>
    </row>
    <row r="996" spans="1:7" ht="30" customHeight="1">
      <c r="A996" s="170">
        <v>2696</v>
      </c>
      <c r="B996" s="306" t="s">
        <v>517</v>
      </c>
      <c r="C996" s="307">
        <f t="shared" si="15"/>
        <v>8.6722999999999999</v>
      </c>
      <c r="G996" s="307">
        <f>G993</f>
        <v>9.5299999999999994</v>
      </c>
    </row>
    <row r="997" spans="1:7" ht="30" customHeight="1">
      <c r="A997" s="170">
        <v>203913</v>
      </c>
      <c r="B997" s="306" t="s">
        <v>917</v>
      </c>
      <c r="C997" s="307">
        <f t="shared" si="15"/>
        <v>30.5305</v>
      </c>
      <c r="G997" s="307">
        <v>33.549999999999997</v>
      </c>
    </row>
    <row r="998" spans="1:7" ht="30" customHeight="1">
      <c r="A998" s="170">
        <v>6115</v>
      </c>
      <c r="B998" s="306" t="s">
        <v>509</v>
      </c>
      <c r="C998" s="307">
        <f t="shared" si="15"/>
        <v>6.4064000000000005</v>
      </c>
      <c r="G998" s="307">
        <f>G995</f>
        <v>7.04</v>
      </c>
    </row>
    <row r="999" spans="1:7" ht="30" customHeight="1">
      <c r="A999" s="170">
        <v>2696</v>
      </c>
      <c r="B999" s="306" t="s">
        <v>517</v>
      </c>
      <c r="C999" s="307">
        <f t="shared" si="15"/>
        <v>8.6722999999999999</v>
      </c>
      <c r="G999" s="307">
        <f>G993</f>
        <v>9.5299999999999994</v>
      </c>
    </row>
    <row r="1000" spans="1:7" ht="30" customHeight="1">
      <c r="A1000" s="245">
        <v>732</v>
      </c>
      <c r="B1000" s="244" t="s">
        <v>1441</v>
      </c>
      <c r="C1000" s="307">
        <f t="shared" si="15"/>
        <v>494.66690000000006</v>
      </c>
      <c r="G1000" s="307">
        <v>543.59</v>
      </c>
    </row>
    <row r="1001" spans="1:7" ht="30" customHeight="1">
      <c r="A1001" s="245" t="s">
        <v>1490</v>
      </c>
      <c r="B1001" s="244" t="s">
        <v>1442</v>
      </c>
      <c r="C1001" s="307">
        <f t="shared" si="15"/>
        <v>377.37700000000001</v>
      </c>
      <c r="G1001" s="311">
        <v>414.7</v>
      </c>
    </row>
    <row r="1002" spans="1:7" ht="30" customHeight="1">
      <c r="A1002" s="170">
        <v>210899</v>
      </c>
      <c r="B1002" s="306" t="s">
        <v>920</v>
      </c>
      <c r="C1002" s="307">
        <f t="shared" si="15"/>
        <v>34.616399999999999</v>
      </c>
      <c r="G1002" s="307">
        <v>38.04</v>
      </c>
    </row>
    <row r="1003" spans="1:7" ht="30" customHeight="1">
      <c r="A1003" s="170">
        <v>210902</v>
      </c>
      <c r="B1003" s="306" t="s">
        <v>921</v>
      </c>
      <c r="C1003" s="307">
        <f t="shared" si="15"/>
        <v>25.734800000000003</v>
      </c>
      <c r="G1003" s="307">
        <v>28.28</v>
      </c>
    </row>
    <row r="1004" spans="1:7" ht="30" customHeight="1">
      <c r="A1004" s="170">
        <v>20972</v>
      </c>
      <c r="B1004" s="306" t="s">
        <v>922</v>
      </c>
      <c r="C1004" s="307">
        <f t="shared" si="15"/>
        <v>52.397800000000004</v>
      </c>
      <c r="G1004" s="307">
        <v>57.58</v>
      </c>
    </row>
    <row r="1005" spans="1:7" ht="30" customHeight="1">
      <c r="A1005" s="170">
        <v>10904</v>
      </c>
      <c r="B1005" s="306" t="s">
        <v>923</v>
      </c>
      <c r="C1005" s="307">
        <f t="shared" si="15"/>
        <v>98.28</v>
      </c>
      <c r="G1005" s="617">
        <v>108</v>
      </c>
    </row>
    <row r="1006" spans="1:7" ht="30" customHeight="1">
      <c r="A1006" s="170">
        <v>21030</v>
      </c>
      <c r="B1006" s="306" t="s">
        <v>924</v>
      </c>
      <c r="C1006" s="307">
        <f t="shared" si="15"/>
        <v>215.67910000000001</v>
      </c>
      <c r="G1006" s="307">
        <v>237.01</v>
      </c>
    </row>
    <row r="1007" spans="1:7" ht="30" customHeight="1">
      <c r="A1007" s="170">
        <v>21031</v>
      </c>
      <c r="B1007" s="306" t="s">
        <v>925</v>
      </c>
      <c r="C1007" s="307">
        <f t="shared" si="15"/>
        <v>259.82319999999999</v>
      </c>
      <c r="G1007" s="307">
        <v>285.52</v>
      </c>
    </row>
    <row r="1008" spans="1:7" ht="30" customHeight="1">
      <c r="A1008" s="170">
        <v>6115</v>
      </c>
      <c r="B1008" s="306" t="s">
        <v>509</v>
      </c>
      <c r="C1008" s="307">
        <f t="shared" si="15"/>
        <v>6.4064000000000005</v>
      </c>
      <c r="G1008" s="307">
        <f>G998</f>
        <v>7.04</v>
      </c>
    </row>
    <row r="1009" spans="1:7" ht="30" customHeight="1">
      <c r="A1009" s="170">
        <v>2696</v>
      </c>
      <c r="B1009" s="306" t="s">
        <v>517</v>
      </c>
      <c r="C1009" s="307">
        <f t="shared" si="15"/>
        <v>8.6722999999999999</v>
      </c>
      <c r="G1009" s="307">
        <f>G999</f>
        <v>9.5299999999999994</v>
      </c>
    </row>
    <row r="1010" spans="1:7" ht="30" customHeight="1">
      <c r="A1010" s="170">
        <v>1213</v>
      </c>
      <c r="B1010" s="306" t="s">
        <v>508</v>
      </c>
      <c r="C1010" s="307">
        <f t="shared" si="15"/>
        <v>8.6722999999999999</v>
      </c>
      <c r="G1010" s="307">
        <v>9.5299999999999994</v>
      </c>
    </row>
    <row r="1011" spans="1:7" ht="30" customHeight="1">
      <c r="A1011" s="170">
        <v>4208</v>
      </c>
      <c r="B1011" s="306" t="s">
        <v>927</v>
      </c>
      <c r="C1011" s="307">
        <f t="shared" si="15"/>
        <v>24.024000000000001</v>
      </c>
      <c r="G1011" s="307">
        <v>26.4</v>
      </c>
    </row>
    <row r="1012" spans="1:7" ht="30" customHeight="1">
      <c r="A1012" s="170">
        <v>6115</v>
      </c>
      <c r="B1012" s="306" t="s">
        <v>509</v>
      </c>
      <c r="C1012" s="307">
        <f t="shared" si="15"/>
        <v>6.4064000000000005</v>
      </c>
      <c r="G1012" s="307">
        <f>G998</f>
        <v>7.04</v>
      </c>
    </row>
    <row r="1013" spans="1:7" ht="30" customHeight="1">
      <c r="A1013" s="170">
        <v>2696</v>
      </c>
      <c r="B1013" s="306" t="s">
        <v>517</v>
      </c>
      <c r="C1013" s="307">
        <f t="shared" si="15"/>
        <v>8.6722999999999999</v>
      </c>
      <c r="G1013" s="307">
        <f>G999</f>
        <v>9.5299999999999994</v>
      </c>
    </row>
    <row r="1014" spans="1:7" ht="30" customHeight="1">
      <c r="A1014" s="310">
        <v>654143</v>
      </c>
      <c r="B1014" s="314" t="s">
        <v>929</v>
      </c>
      <c r="C1014" s="307">
        <f t="shared" si="15"/>
        <v>25.252500000000001</v>
      </c>
      <c r="G1014" s="616">
        <v>27.75</v>
      </c>
    </row>
    <row r="1015" spans="1:7" ht="30" customHeight="1">
      <c r="A1015" s="170">
        <v>2436</v>
      </c>
      <c r="B1015" s="306" t="s">
        <v>513</v>
      </c>
      <c r="C1015" s="307">
        <f t="shared" si="15"/>
        <v>12.2668</v>
      </c>
      <c r="G1015" s="307">
        <v>13.48</v>
      </c>
    </row>
    <row r="1016" spans="1:7" ht="30" customHeight="1">
      <c r="A1016" s="170">
        <v>6113</v>
      </c>
      <c r="B1016" s="306" t="s">
        <v>514</v>
      </c>
      <c r="C1016" s="307">
        <f t="shared" si="15"/>
        <v>6.4064000000000005</v>
      </c>
      <c r="G1016" s="307">
        <v>7.04</v>
      </c>
    </row>
    <row r="1017" spans="1:7" ht="30" customHeight="1">
      <c r="A1017" s="170">
        <v>654143</v>
      </c>
      <c r="B1017" s="306" t="s">
        <v>929</v>
      </c>
      <c r="C1017" s="307">
        <f t="shared" si="15"/>
        <v>25.252500000000001</v>
      </c>
      <c r="G1017" s="616">
        <f>G1014</f>
        <v>27.75</v>
      </c>
    </row>
    <row r="1018" spans="1:7" ht="30" customHeight="1">
      <c r="A1018" s="170">
        <v>2436</v>
      </c>
      <c r="B1018" s="306" t="s">
        <v>513</v>
      </c>
      <c r="C1018" s="307">
        <f t="shared" si="15"/>
        <v>12.2668</v>
      </c>
      <c r="G1018" s="307">
        <f>G1015</f>
        <v>13.48</v>
      </c>
    </row>
    <row r="1019" spans="1:7" ht="30" customHeight="1">
      <c r="A1019" s="170">
        <v>6113</v>
      </c>
      <c r="B1019" s="306" t="s">
        <v>514</v>
      </c>
      <c r="C1019" s="307">
        <f t="shared" si="15"/>
        <v>6.4064000000000005</v>
      </c>
      <c r="G1019" s="307">
        <f>G1022</f>
        <v>7.04</v>
      </c>
    </row>
    <row r="1020" spans="1:7" ht="30" customHeight="1">
      <c r="A1020" s="310">
        <v>138582</v>
      </c>
      <c r="B1020" s="314" t="s">
        <v>931</v>
      </c>
      <c r="C1020" s="307">
        <f t="shared" si="15"/>
        <v>41.587000000000003</v>
      </c>
      <c r="G1020" s="616">
        <v>45.7</v>
      </c>
    </row>
    <row r="1021" spans="1:7" ht="30" customHeight="1">
      <c r="A1021" s="170">
        <v>2436</v>
      </c>
      <c r="B1021" s="306" t="s">
        <v>513</v>
      </c>
      <c r="C1021" s="307">
        <f t="shared" si="15"/>
        <v>12.2668</v>
      </c>
      <c r="G1021" s="307">
        <f>G1015</f>
        <v>13.48</v>
      </c>
    </row>
    <row r="1022" spans="1:7" ht="30" customHeight="1">
      <c r="A1022" s="170">
        <v>6113</v>
      </c>
      <c r="B1022" s="306" t="s">
        <v>514</v>
      </c>
      <c r="C1022" s="307">
        <f t="shared" si="15"/>
        <v>6.4064000000000005</v>
      </c>
      <c r="G1022" s="307">
        <f>G1025</f>
        <v>7.04</v>
      </c>
    </row>
    <row r="1023" spans="1:7" ht="30" customHeight="1">
      <c r="A1023" s="310">
        <v>1385083</v>
      </c>
      <c r="B1023" s="314" t="s">
        <v>933</v>
      </c>
      <c r="C1023" s="307">
        <f t="shared" si="15"/>
        <v>344.19839999999999</v>
      </c>
      <c r="G1023" s="616">
        <v>378.24</v>
      </c>
    </row>
    <row r="1024" spans="1:7" ht="30" customHeight="1">
      <c r="A1024" s="170">
        <v>2436</v>
      </c>
      <c r="B1024" s="306" t="s">
        <v>513</v>
      </c>
      <c r="C1024" s="307">
        <f t="shared" si="15"/>
        <v>12.2668</v>
      </c>
      <c r="G1024" s="307">
        <f>G1021</f>
        <v>13.48</v>
      </c>
    </row>
    <row r="1025" spans="1:7" ht="30" customHeight="1">
      <c r="A1025" s="170">
        <v>6113</v>
      </c>
      <c r="B1025" s="306" t="s">
        <v>514</v>
      </c>
      <c r="C1025" s="307">
        <f t="shared" si="15"/>
        <v>6.4064000000000005</v>
      </c>
      <c r="G1025" s="307">
        <f>G1028</f>
        <v>7.04</v>
      </c>
    </row>
    <row r="1026" spans="1:7" ht="30" customHeight="1">
      <c r="A1026" s="310" t="s">
        <v>935</v>
      </c>
      <c r="B1026" s="314" t="s">
        <v>936</v>
      </c>
      <c r="C1026" s="307">
        <f t="shared" si="15"/>
        <v>407.3433</v>
      </c>
      <c r="G1026" s="616">
        <v>447.63</v>
      </c>
    </row>
    <row r="1027" spans="1:7" ht="30" customHeight="1">
      <c r="A1027" s="170">
        <v>2436</v>
      </c>
      <c r="B1027" s="306" t="s">
        <v>513</v>
      </c>
      <c r="C1027" s="307">
        <f t="shared" si="15"/>
        <v>12.2668</v>
      </c>
      <c r="G1027" s="307">
        <f>G1024</f>
        <v>13.48</v>
      </c>
    </row>
    <row r="1028" spans="1:7" ht="30" customHeight="1">
      <c r="A1028" s="170">
        <v>6113</v>
      </c>
      <c r="B1028" s="306" t="s">
        <v>514</v>
      </c>
      <c r="C1028" s="307">
        <f t="shared" si="15"/>
        <v>6.4064000000000005</v>
      </c>
      <c r="G1028" s="307">
        <f>G1016</f>
        <v>7.04</v>
      </c>
    </row>
    <row r="1029" spans="1:7" ht="30" customHeight="1">
      <c r="A1029" s="170">
        <v>10886</v>
      </c>
      <c r="B1029" s="306" t="s">
        <v>939</v>
      </c>
      <c r="C1029" s="307">
        <f t="shared" si="15"/>
        <v>105.21420000000001</v>
      </c>
      <c r="G1029" s="307">
        <v>115.62</v>
      </c>
    </row>
    <row r="1030" spans="1:7" ht="30" customHeight="1">
      <c r="A1030" s="170">
        <v>4750</v>
      </c>
      <c r="B1030" s="306" t="s">
        <v>576</v>
      </c>
      <c r="C1030" s="307">
        <f t="shared" si="15"/>
        <v>8.6722999999999999</v>
      </c>
      <c r="G1030" s="307">
        <f>G982</f>
        <v>9.5299999999999994</v>
      </c>
    </row>
    <row r="1031" spans="1:7" ht="30" customHeight="1">
      <c r="A1031" s="170">
        <v>6111</v>
      </c>
      <c r="B1031" s="306" t="s">
        <v>535</v>
      </c>
      <c r="C1031" s="307">
        <f t="shared" si="15"/>
        <v>6.4064000000000005</v>
      </c>
      <c r="G1031" s="307">
        <f>G990</f>
        <v>7.04</v>
      </c>
    </row>
    <row r="1032" spans="1:7" ht="30" customHeight="1">
      <c r="A1032" s="170">
        <v>10891</v>
      </c>
      <c r="B1032" s="306" t="s">
        <v>941</v>
      </c>
      <c r="C1032" s="307">
        <f t="shared" si="15"/>
        <v>91.700699999999998</v>
      </c>
      <c r="G1032" s="307">
        <v>100.77</v>
      </c>
    </row>
    <row r="1033" spans="1:7" ht="30" customHeight="1">
      <c r="A1033" s="170">
        <v>4750</v>
      </c>
      <c r="B1033" s="306" t="s">
        <v>576</v>
      </c>
      <c r="C1033" s="307">
        <f t="shared" si="15"/>
        <v>8.6722999999999999</v>
      </c>
      <c r="G1033" s="307">
        <f>G1030</f>
        <v>9.5299999999999994</v>
      </c>
    </row>
    <row r="1034" spans="1:7" ht="30" customHeight="1">
      <c r="A1034" s="170">
        <v>6111</v>
      </c>
      <c r="B1034" s="306" t="s">
        <v>535</v>
      </c>
      <c r="C1034" s="307">
        <f t="shared" ref="C1034:C1097" si="16">G1034*0.91</f>
        <v>6.4064000000000005</v>
      </c>
      <c r="G1034" s="307">
        <f>G1031</f>
        <v>7.04</v>
      </c>
    </row>
    <row r="1035" spans="1:7" ht="30" customHeight="1">
      <c r="A1035" s="170">
        <v>10851</v>
      </c>
      <c r="B1035" s="306" t="s">
        <v>943</v>
      </c>
      <c r="C1035" s="307">
        <f t="shared" si="16"/>
        <v>40.886299999999999</v>
      </c>
      <c r="G1035" s="307">
        <v>44.93</v>
      </c>
    </row>
    <row r="1036" spans="1:7" ht="30" customHeight="1">
      <c r="A1036" s="170">
        <v>4750</v>
      </c>
      <c r="B1036" s="306" t="s">
        <v>576</v>
      </c>
      <c r="C1036" s="307">
        <f t="shared" si="16"/>
        <v>8.6722999999999999</v>
      </c>
      <c r="G1036" s="307">
        <f>G1033</f>
        <v>9.5299999999999994</v>
      </c>
    </row>
    <row r="1037" spans="1:7" ht="30" customHeight="1">
      <c r="A1037" s="310">
        <v>31080</v>
      </c>
      <c r="B1037" s="314" t="s">
        <v>945</v>
      </c>
      <c r="C1037" s="307">
        <f t="shared" si="16"/>
        <v>2.1840000000000002</v>
      </c>
      <c r="G1037" s="616">
        <v>2.4</v>
      </c>
    </row>
    <row r="1038" spans="1:7" ht="30" customHeight="1">
      <c r="A1038" s="170">
        <v>4783</v>
      </c>
      <c r="B1038" s="306" t="s">
        <v>946</v>
      </c>
      <c r="C1038" s="307">
        <f t="shared" si="16"/>
        <v>8.6722999999999999</v>
      </c>
      <c r="G1038" s="307">
        <v>9.5299999999999994</v>
      </c>
    </row>
    <row r="1039" spans="1:7" ht="30" customHeight="1">
      <c r="A1039" s="170">
        <v>10851</v>
      </c>
      <c r="B1039" s="306" t="s">
        <v>1415</v>
      </c>
      <c r="C1039" s="307">
        <f t="shared" si="16"/>
        <v>40.886299999999999</v>
      </c>
      <c r="G1039" s="307">
        <f>G1035</f>
        <v>44.93</v>
      </c>
    </row>
    <row r="1040" spans="1:7" ht="30" customHeight="1">
      <c r="A1040" s="170">
        <v>4750</v>
      </c>
      <c r="B1040" s="306" t="s">
        <v>576</v>
      </c>
      <c r="C1040" s="307">
        <f t="shared" si="16"/>
        <v>8.6722999999999999</v>
      </c>
      <c r="G1040" s="307">
        <f>G1033</f>
        <v>9.5299999999999994</v>
      </c>
    </row>
    <row r="1041" spans="1:7" ht="30" customHeight="1">
      <c r="A1041" s="170">
        <v>1379</v>
      </c>
      <c r="B1041" s="306" t="s">
        <v>549</v>
      </c>
      <c r="C1041" s="307">
        <f t="shared" si="16"/>
        <v>0.50050000000000006</v>
      </c>
      <c r="G1041" s="307">
        <v>0.55000000000000004</v>
      </c>
    </row>
    <row r="1042" spans="1:7" ht="30" customHeight="1">
      <c r="A1042" s="170">
        <v>367</v>
      </c>
      <c r="B1042" s="306" t="s">
        <v>544</v>
      </c>
      <c r="C1042" s="307">
        <f t="shared" si="16"/>
        <v>40.950000000000003</v>
      </c>
      <c r="G1042" s="307">
        <f>G18</f>
        <v>45</v>
      </c>
    </row>
    <row r="1043" spans="1:7" ht="30" customHeight="1">
      <c r="A1043" s="170">
        <v>6111</v>
      </c>
      <c r="B1043" s="306" t="s">
        <v>535</v>
      </c>
      <c r="C1043" s="307">
        <f t="shared" si="16"/>
        <v>6.4064000000000005</v>
      </c>
      <c r="G1043" s="307">
        <f>G1031</f>
        <v>7.04</v>
      </c>
    </row>
    <row r="1044" spans="1:7" ht="30" customHeight="1">
      <c r="A1044" s="170">
        <v>4750</v>
      </c>
      <c r="B1044" s="306" t="s">
        <v>576</v>
      </c>
      <c r="C1044" s="307">
        <f t="shared" si="16"/>
        <v>8.6722999999999999</v>
      </c>
      <c r="G1044" s="307">
        <f>G1040</f>
        <v>9.5299999999999994</v>
      </c>
    </row>
    <row r="1045" spans="1:7" ht="30" customHeight="1">
      <c r="A1045" s="170">
        <v>10532</v>
      </c>
      <c r="B1045" s="306" t="s">
        <v>675</v>
      </c>
      <c r="C1045" s="307">
        <f t="shared" si="16"/>
        <v>2.0474999999999999</v>
      </c>
      <c r="G1045" s="307">
        <v>2.25</v>
      </c>
    </row>
    <row r="1046" spans="1:7" ht="30" customHeight="1">
      <c r="A1046" s="170">
        <v>1379</v>
      </c>
      <c r="B1046" s="306" t="s">
        <v>549</v>
      </c>
      <c r="C1046" s="307">
        <f t="shared" si="16"/>
        <v>0.50050000000000006</v>
      </c>
      <c r="G1046" s="307">
        <f>G1041</f>
        <v>0.55000000000000004</v>
      </c>
    </row>
    <row r="1047" spans="1:7" ht="30" customHeight="1">
      <c r="A1047" s="170">
        <v>1106</v>
      </c>
      <c r="B1047" s="306" t="s">
        <v>643</v>
      </c>
      <c r="C1047" s="307">
        <f t="shared" si="16"/>
        <v>1.0465</v>
      </c>
      <c r="G1047" s="307">
        <v>1.1499999999999999</v>
      </c>
    </row>
    <row r="1048" spans="1:7" ht="30" customHeight="1">
      <c r="A1048" s="170">
        <v>370</v>
      </c>
      <c r="B1048" s="306" t="s">
        <v>618</v>
      </c>
      <c r="C1048" s="307">
        <f t="shared" si="16"/>
        <v>31.85</v>
      </c>
      <c r="G1048" s="307">
        <f>G162</f>
        <v>35</v>
      </c>
    </row>
    <row r="1049" spans="1:7" ht="30" customHeight="1">
      <c r="A1049" s="170">
        <v>6111</v>
      </c>
      <c r="B1049" s="306" t="s">
        <v>535</v>
      </c>
      <c r="C1049" s="307">
        <f t="shared" si="16"/>
        <v>6.4064000000000005</v>
      </c>
      <c r="G1049" s="307">
        <f>G1043</f>
        <v>7.04</v>
      </c>
    </row>
    <row r="1050" spans="1:7" ht="30" customHeight="1">
      <c r="A1050" s="170">
        <v>4750</v>
      </c>
      <c r="B1050" s="306" t="s">
        <v>576</v>
      </c>
      <c r="C1050" s="307">
        <f t="shared" si="16"/>
        <v>8.6722999999999999</v>
      </c>
      <c r="G1050" s="307">
        <f>G1044</f>
        <v>9.5299999999999994</v>
      </c>
    </row>
    <row r="1051" spans="1:7" ht="30" customHeight="1">
      <c r="A1051" s="170">
        <v>6028</v>
      </c>
      <c r="B1051" s="306" t="s">
        <v>1370</v>
      </c>
      <c r="C1051" s="307">
        <f t="shared" si="16"/>
        <v>296.66000000000003</v>
      </c>
      <c r="G1051" s="616">
        <v>326</v>
      </c>
    </row>
    <row r="1052" spans="1:7" ht="30" customHeight="1">
      <c r="A1052" s="170">
        <v>6111</v>
      </c>
      <c r="B1052" s="306" t="s">
        <v>535</v>
      </c>
      <c r="C1052" s="307">
        <f t="shared" si="16"/>
        <v>6.4064000000000005</v>
      </c>
      <c r="G1052" s="307">
        <f>G1049</f>
        <v>7.04</v>
      </c>
    </row>
    <row r="1053" spans="1:7" ht="30" customHeight="1">
      <c r="A1053" s="170">
        <v>4750</v>
      </c>
      <c r="B1053" s="306" t="s">
        <v>576</v>
      </c>
      <c r="C1053" s="307">
        <f t="shared" si="16"/>
        <v>8.6722999999999999</v>
      </c>
      <c r="G1053" s="307">
        <f>G1050</f>
        <v>9.5299999999999994</v>
      </c>
    </row>
    <row r="1054" spans="1:7" ht="30" customHeight="1">
      <c r="A1054" s="170">
        <v>371</v>
      </c>
      <c r="B1054" s="306" t="s">
        <v>691</v>
      </c>
      <c r="C1054" s="307">
        <f t="shared" si="16"/>
        <v>0.58240000000000003</v>
      </c>
      <c r="G1054" s="307">
        <v>0.64</v>
      </c>
    </row>
    <row r="1055" spans="1:7" ht="30" customHeight="1">
      <c r="A1055" s="170">
        <v>1380</v>
      </c>
      <c r="B1055" s="306" t="s">
        <v>638</v>
      </c>
      <c r="C1055" s="307">
        <f t="shared" si="16"/>
        <v>3.64</v>
      </c>
      <c r="G1055" s="307">
        <f>G464</f>
        <v>4</v>
      </c>
    </row>
    <row r="1056" spans="1:7" ht="30" customHeight="1">
      <c r="A1056" s="170">
        <v>21108</v>
      </c>
      <c r="B1056" s="306" t="s">
        <v>692</v>
      </c>
      <c r="C1056" s="307">
        <f t="shared" si="16"/>
        <v>63.7</v>
      </c>
      <c r="G1056" s="307">
        <v>70</v>
      </c>
    </row>
    <row r="1057" spans="1:7" ht="30" customHeight="1">
      <c r="A1057" s="170">
        <v>4760</v>
      </c>
      <c r="B1057" s="306" t="s">
        <v>515</v>
      </c>
      <c r="C1057" s="307">
        <f t="shared" si="16"/>
        <v>7.8806000000000003</v>
      </c>
      <c r="G1057" s="307">
        <v>8.66</v>
      </c>
    </row>
    <row r="1058" spans="1:7" ht="30" customHeight="1">
      <c r="A1058" s="170">
        <v>6111</v>
      </c>
      <c r="B1058" s="306" t="s">
        <v>535</v>
      </c>
      <c r="C1058" s="307">
        <f t="shared" si="16"/>
        <v>6.4064000000000005</v>
      </c>
      <c r="G1058" s="307">
        <f>G1043</f>
        <v>7.04</v>
      </c>
    </row>
    <row r="1059" spans="1:7" ht="30" customHeight="1">
      <c r="A1059" s="170">
        <v>211794</v>
      </c>
      <c r="B1059" s="306" t="s">
        <v>1044</v>
      </c>
      <c r="C1059" s="307">
        <f t="shared" si="16"/>
        <v>290.017</v>
      </c>
      <c r="G1059" s="307">
        <v>318.7</v>
      </c>
    </row>
    <row r="1060" spans="1:7" ht="30" customHeight="1">
      <c r="A1060" s="170">
        <v>73541</v>
      </c>
      <c r="B1060" s="306" t="s">
        <v>1045</v>
      </c>
      <c r="C1060" s="307">
        <f t="shared" si="16"/>
        <v>46.901400000000002</v>
      </c>
      <c r="G1060" s="311">
        <v>51.54</v>
      </c>
    </row>
    <row r="1061" spans="1:7" ht="30" customHeight="1">
      <c r="A1061" s="170">
        <v>370</v>
      </c>
      <c r="B1061" s="306" t="s">
        <v>618</v>
      </c>
      <c r="C1061" s="307">
        <f t="shared" si="16"/>
        <v>31.85</v>
      </c>
      <c r="G1061" s="307">
        <f>G1048</f>
        <v>35</v>
      </c>
    </row>
    <row r="1062" spans="1:7" ht="30" customHeight="1">
      <c r="A1062" s="170">
        <v>1106</v>
      </c>
      <c r="B1062" s="306" t="s">
        <v>643</v>
      </c>
      <c r="C1062" s="307">
        <f t="shared" si="16"/>
        <v>1.0465</v>
      </c>
      <c r="G1062" s="307">
        <f>G1047</f>
        <v>1.1499999999999999</v>
      </c>
    </row>
    <row r="1063" spans="1:7" ht="30" customHeight="1">
      <c r="A1063" s="170">
        <v>1379</v>
      </c>
      <c r="B1063" s="306" t="s">
        <v>549</v>
      </c>
      <c r="C1063" s="307">
        <f t="shared" si="16"/>
        <v>0.50050000000000006</v>
      </c>
      <c r="G1063" s="307">
        <f>G1046</f>
        <v>0.55000000000000004</v>
      </c>
    </row>
    <row r="1064" spans="1:7" ht="30" customHeight="1">
      <c r="A1064" s="170">
        <v>1380</v>
      </c>
      <c r="B1064" s="306" t="s">
        <v>638</v>
      </c>
      <c r="C1064" s="307">
        <f t="shared" si="16"/>
        <v>3.64</v>
      </c>
      <c r="G1064" s="307">
        <f>G1055</f>
        <v>4</v>
      </c>
    </row>
    <row r="1065" spans="1:7" ht="30" customHeight="1">
      <c r="A1065" s="170">
        <v>10840</v>
      </c>
      <c r="B1065" s="306" t="s">
        <v>1416</v>
      </c>
      <c r="C1065" s="307">
        <f t="shared" si="16"/>
        <v>218.41820000000001</v>
      </c>
      <c r="G1065" s="307">
        <v>240.02</v>
      </c>
    </row>
    <row r="1066" spans="1:7" ht="30" customHeight="1">
      <c r="A1066" s="170">
        <v>6111</v>
      </c>
      <c r="B1066" s="306" t="s">
        <v>535</v>
      </c>
      <c r="C1066" s="307">
        <f t="shared" si="16"/>
        <v>6.4064000000000005</v>
      </c>
      <c r="G1066" s="307">
        <f>G1052</f>
        <v>7.04</v>
      </c>
    </row>
    <row r="1067" spans="1:7" ht="30" customHeight="1">
      <c r="A1067" s="170">
        <v>4750</v>
      </c>
      <c r="B1067" s="306" t="s">
        <v>576</v>
      </c>
      <c r="C1067" s="307">
        <f t="shared" si="16"/>
        <v>8.6722999999999999</v>
      </c>
      <c r="G1067" s="307">
        <f>G1053</f>
        <v>9.5299999999999994</v>
      </c>
    </row>
    <row r="1068" spans="1:7" ht="30" customHeight="1">
      <c r="A1068" s="313"/>
      <c r="B1068" s="315" t="s">
        <v>1432</v>
      </c>
      <c r="C1068" s="307">
        <f t="shared" si="16"/>
        <v>56.347200000000001</v>
      </c>
      <c r="G1068" s="616">
        <v>61.92</v>
      </c>
    </row>
    <row r="1069" spans="1:7" ht="30" customHeight="1">
      <c r="A1069" s="245">
        <v>2700</v>
      </c>
      <c r="B1069" s="244" t="s">
        <v>1433</v>
      </c>
      <c r="C1069" s="307">
        <f t="shared" si="16"/>
        <v>18.427500000000002</v>
      </c>
      <c r="G1069" s="307">
        <v>20.25</v>
      </c>
    </row>
    <row r="1070" spans="1:7" ht="30" customHeight="1">
      <c r="A1070" s="170">
        <v>10492</v>
      </c>
      <c r="B1070" s="306" t="s">
        <v>653</v>
      </c>
      <c r="C1070" s="307">
        <f t="shared" si="16"/>
        <v>72.8</v>
      </c>
      <c r="G1070" s="307">
        <v>80</v>
      </c>
    </row>
    <row r="1071" spans="1:7" ht="30" customHeight="1">
      <c r="A1071" s="170">
        <v>10498</v>
      </c>
      <c r="B1071" s="306" t="s">
        <v>654</v>
      </c>
      <c r="C1071" s="307">
        <f t="shared" si="16"/>
        <v>3.64</v>
      </c>
      <c r="G1071" s="307">
        <v>4</v>
      </c>
    </row>
    <row r="1072" spans="1:7" ht="30" customHeight="1">
      <c r="A1072" s="170">
        <v>6115</v>
      </c>
      <c r="B1072" s="306" t="s">
        <v>509</v>
      </c>
      <c r="C1072" s="307">
        <f t="shared" si="16"/>
        <v>6.4064000000000005</v>
      </c>
      <c r="G1072" s="307">
        <f>G1012</f>
        <v>7.04</v>
      </c>
    </row>
    <row r="1073" spans="1:7" ht="30" customHeight="1">
      <c r="A1073" s="170">
        <v>10489</v>
      </c>
      <c r="B1073" s="306" t="s">
        <v>655</v>
      </c>
      <c r="C1073" s="307">
        <f t="shared" si="16"/>
        <v>7.4711000000000007</v>
      </c>
      <c r="G1073" s="307">
        <v>8.2100000000000009</v>
      </c>
    </row>
    <row r="1074" spans="1:7" ht="30" customHeight="1">
      <c r="A1074" s="170">
        <v>148</v>
      </c>
      <c r="B1074" s="306" t="s">
        <v>657</v>
      </c>
      <c r="C1074" s="307">
        <f t="shared" si="16"/>
        <v>6.8431999999999995</v>
      </c>
      <c r="G1074" s="307">
        <v>7.52</v>
      </c>
    </row>
    <row r="1075" spans="1:7" ht="30" customHeight="1">
      <c r="A1075" s="170">
        <v>587</v>
      </c>
      <c r="B1075" s="306" t="s">
        <v>658</v>
      </c>
      <c r="C1075" s="307">
        <f t="shared" si="16"/>
        <v>18.163600000000002</v>
      </c>
      <c r="G1075" s="307">
        <v>19.96</v>
      </c>
    </row>
    <row r="1076" spans="1:7" ht="30" customHeight="1">
      <c r="A1076" s="170">
        <v>1344</v>
      </c>
      <c r="B1076" s="306" t="s">
        <v>659</v>
      </c>
      <c r="C1076" s="307">
        <f t="shared" si="16"/>
        <v>46.464600000000004</v>
      </c>
      <c r="G1076" s="307">
        <v>51.06</v>
      </c>
    </row>
    <row r="1077" spans="1:7" ht="30" customHeight="1">
      <c r="A1077" s="170">
        <v>11186</v>
      </c>
      <c r="B1077" s="306" t="s">
        <v>660</v>
      </c>
      <c r="C1077" s="307">
        <f t="shared" si="16"/>
        <v>189.28</v>
      </c>
      <c r="G1077" s="307">
        <v>208</v>
      </c>
    </row>
    <row r="1078" spans="1:7" ht="30" customHeight="1">
      <c r="A1078" s="170">
        <v>10489</v>
      </c>
      <c r="B1078" s="306" t="s">
        <v>655</v>
      </c>
      <c r="C1078" s="307">
        <f t="shared" si="16"/>
        <v>7.4711000000000007</v>
      </c>
      <c r="G1078" s="307">
        <f>G1073</f>
        <v>8.2100000000000009</v>
      </c>
    </row>
    <row r="1079" spans="1:7" ht="30" customHeight="1">
      <c r="A1079" s="170">
        <v>6117</v>
      </c>
      <c r="B1079" s="173" t="s">
        <v>510</v>
      </c>
      <c r="C1079" s="307">
        <f t="shared" si="16"/>
        <v>6.5065000000000008</v>
      </c>
      <c r="G1079" s="307">
        <v>7.15</v>
      </c>
    </row>
    <row r="1080" spans="1:7" ht="30" customHeight="1">
      <c r="A1080" s="245">
        <v>3767</v>
      </c>
      <c r="B1080" s="244" t="s">
        <v>1028</v>
      </c>
      <c r="C1080" s="307">
        <f t="shared" si="16"/>
        <v>0.48230000000000006</v>
      </c>
      <c r="G1080" s="307">
        <v>0.53</v>
      </c>
    </row>
    <row r="1081" spans="1:7" ht="30" customHeight="1">
      <c r="A1081" s="245">
        <v>4056</v>
      </c>
      <c r="B1081" s="244" t="s">
        <v>1436</v>
      </c>
      <c r="C1081" s="307">
        <f t="shared" si="16"/>
        <v>17.499300000000002</v>
      </c>
      <c r="G1081" s="307">
        <v>19.23</v>
      </c>
    </row>
    <row r="1082" spans="1:7" ht="30" customHeight="1">
      <c r="A1082" s="245">
        <v>4783</v>
      </c>
      <c r="B1082" s="244" t="s">
        <v>946</v>
      </c>
      <c r="C1082" s="307">
        <f t="shared" si="16"/>
        <v>8.6722999999999999</v>
      </c>
      <c r="G1082" s="307">
        <f>G1038</f>
        <v>9.5299999999999994</v>
      </c>
    </row>
    <row r="1083" spans="1:7" ht="30" customHeight="1">
      <c r="A1083" s="245">
        <v>6115</v>
      </c>
      <c r="B1083" s="244" t="s">
        <v>509</v>
      </c>
      <c r="C1083" s="307">
        <f t="shared" si="16"/>
        <v>6.4064000000000005</v>
      </c>
      <c r="G1083" s="307">
        <f>G1072</f>
        <v>7.04</v>
      </c>
    </row>
    <row r="1084" spans="1:7" ht="30" customHeight="1">
      <c r="A1084" s="170">
        <v>6085</v>
      </c>
      <c r="B1084" s="306" t="s">
        <v>1029</v>
      </c>
      <c r="C1084" s="307">
        <f t="shared" si="16"/>
        <v>2.9484000000000004</v>
      </c>
      <c r="G1084" s="307">
        <v>3.24</v>
      </c>
    </row>
    <row r="1085" spans="1:7" ht="30" customHeight="1">
      <c r="A1085" s="170">
        <v>4783</v>
      </c>
      <c r="B1085" s="306" t="s">
        <v>946</v>
      </c>
      <c r="C1085" s="307">
        <f t="shared" si="16"/>
        <v>8.6722999999999999</v>
      </c>
      <c r="G1085" s="307">
        <f>G1095</f>
        <v>9.5299999999999994</v>
      </c>
    </row>
    <row r="1086" spans="1:7" ht="30" customHeight="1">
      <c r="A1086" s="170">
        <v>6115</v>
      </c>
      <c r="B1086" s="306" t="s">
        <v>509</v>
      </c>
      <c r="C1086" s="307">
        <f t="shared" si="16"/>
        <v>6.4064000000000005</v>
      </c>
      <c r="G1086" s="307">
        <f>G1090</f>
        <v>7.04</v>
      </c>
    </row>
    <row r="1087" spans="1:7" ht="30" customHeight="1">
      <c r="A1087" s="170">
        <v>3767</v>
      </c>
      <c r="B1087" s="306" t="s">
        <v>1028</v>
      </c>
      <c r="C1087" s="307">
        <f t="shared" si="16"/>
        <v>0.48230000000000006</v>
      </c>
      <c r="G1087" s="307">
        <v>0.53</v>
      </c>
    </row>
    <row r="1088" spans="1:7" ht="30" customHeight="1">
      <c r="A1088" s="170">
        <v>7356</v>
      </c>
      <c r="B1088" s="306" t="s">
        <v>1031</v>
      </c>
      <c r="C1088" s="307">
        <f t="shared" si="16"/>
        <v>10.563280000000001</v>
      </c>
      <c r="G1088" s="307">
        <v>11.608000000000001</v>
      </c>
    </row>
    <row r="1089" spans="1:7" ht="30" customHeight="1">
      <c r="A1089" s="170">
        <v>4783</v>
      </c>
      <c r="B1089" s="306" t="s">
        <v>946</v>
      </c>
      <c r="C1089" s="307">
        <f t="shared" si="16"/>
        <v>8.6722999999999999</v>
      </c>
      <c r="G1089" s="307">
        <f>G1085</f>
        <v>9.5299999999999994</v>
      </c>
    </row>
    <row r="1090" spans="1:7" ht="30" customHeight="1">
      <c r="A1090" s="170">
        <v>6115</v>
      </c>
      <c r="B1090" s="306" t="s">
        <v>509</v>
      </c>
      <c r="C1090" s="307">
        <f t="shared" si="16"/>
        <v>6.4064000000000005</v>
      </c>
      <c r="G1090" s="307">
        <f>G1083</f>
        <v>7.04</v>
      </c>
    </row>
    <row r="1091" spans="1:7" ht="30" customHeight="1">
      <c r="A1091" s="170">
        <v>3768</v>
      </c>
      <c r="B1091" s="306" t="s">
        <v>1033</v>
      </c>
      <c r="C1091" s="307">
        <f t="shared" si="16"/>
        <v>2.0110999999999999</v>
      </c>
      <c r="G1091" s="307">
        <v>2.21</v>
      </c>
    </row>
    <row r="1092" spans="1:7" ht="30" customHeight="1">
      <c r="A1092" s="170">
        <v>5320</v>
      </c>
      <c r="B1092" s="306" t="s">
        <v>1034</v>
      </c>
      <c r="C1092" s="307">
        <f t="shared" si="16"/>
        <v>15.47</v>
      </c>
      <c r="G1092" s="307">
        <v>17</v>
      </c>
    </row>
    <row r="1093" spans="1:7" ht="30" customHeight="1">
      <c r="A1093" s="170">
        <v>7288</v>
      </c>
      <c r="B1093" s="306" t="s">
        <v>1035</v>
      </c>
      <c r="C1093" s="307">
        <f t="shared" si="16"/>
        <v>11.516960000000001</v>
      </c>
      <c r="G1093" s="307">
        <v>12.656000000000001</v>
      </c>
    </row>
    <row r="1094" spans="1:7" ht="30" customHeight="1">
      <c r="A1094" s="170">
        <v>7307</v>
      </c>
      <c r="B1094" s="306" t="s">
        <v>702</v>
      </c>
      <c r="C1094" s="307">
        <f t="shared" si="16"/>
        <v>9.90808</v>
      </c>
      <c r="G1094" s="307">
        <v>10.888</v>
      </c>
    </row>
    <row r="1095" spans="1:7" ht="30" customHeight="1">
      <c r="A1095" s="170">
        <v>4783</v>
      </c>
      <c r="B1095" s="306" t="s">
        <v>946</v>
      </c>
      <c r="C1095" s="307">
        <f t="shared" si="16"/>
        <v>8.6722999999999999</v>
      </c>
      <c r="G1095" s="307">
        <f>G1082</f>
        <v>9.5299999999999994</v>
      </c>
    </row>
    <row r="1096" spans="1:7" ht="30" customHeight="1">
      <c r="A1096" s="170">
        <v>6115</v>
      </c>
      <c r="B1096" s="306" t="s">
        <v>509</v>
      </c>
      <c r="C1096" s="307">
        <f t="shared" si="16"/>
        <v>6.4064000000000005</v>
      </c>
      <c r="G1096" s="307">
        <f>G1086</f>
        <v>7.04</v>
      </c>
    </row>
    <row r="1097" spans="1:7" ht="30" customHeight="1">
      <c r="A1097" s="170">
        <v>10472</v>
      </c>
      <c r="B1097" s="306" t="s">
        <v>1036</v>
      </c>
      <c r="C1097" s="307">
        <f t="shared" si="16"/>
        <v>36.381799999999998</v>
      </c>
      <c r="G1097" s="307">
        <v>39.979999999999997</v>
      </c>
    </row>
    <row r="1098" spans="1:7" ht="30" customHeight="1">
      <c r="A1098" s="170">
        <v>5318</v>
      </c>
      <c r="B1098" s="306" t="s">
        <v>1038</v>
      </c>
      <c r="C1098" s="307">
        <f t="shared" ref="C1098:C1161" si="17">G1098*0.91</f>
        <v>7.6712999999999996</v>
      </c>
      <c r="G1098" s="307">
        <v>8.43</v>
      </c>
    </row>
    <row r="1099" spans="1:7" ht="30" customHeight="1">
      <c r="A1099" s="170">
        <v>3767</v>
      </c>
      <c r="B1099" s="306" t="s">
        <v>1028</v>
      </c>
      <c r="C1099" s="307">
        <f t="shared" si="17"/>
        <v>0.48230000000000006</v>
      </c>
      <c r="G1099" s="307">
        <f>G1080</f>
        <v>0.53</v>
      </c>
    </row>
    <row r="1100" spans="1:7" ht="30" customHeight="1">
      <c r="A1100" s="170">
        <v>6115</v>
      </c>
      <c r="B1100" s="306" t="s">
        <v>509</v>
      </c>
      <c r="C1100" s="307">
        <f t="shared" si="17"/>
        <v>6.4064000000000005</v>
      </c>
      <c r="G1100" s="307">
        <f>G1096</f>
        <v>7.04</v>
      </c>
    </row>
    <row r="1101" spans="1:7" ht="30" customHeight="1">
      <c r="A1101" s="170">
        <v>4783</v>
      </c>
      <c r="B1101" s="306" t="s">
        <v>946</v>
      </c>
      <c r="C1101" s="307">
        <f t="shared" si="17"/>
        <v>8.6722999999999999</v>
      </c>
      <c r="G1101" s="307">
        <f>G1095</f>
        <v>9.5299999999999994</v>
      </c>
    </row>
    <row r="1102" spans="1:7" ht="30" customHeight="1">
      <c r="A1102" s="170">
        <v>7308</v>
      </c>
      <c r="B1102" s="306" t="s">
        <v>702</v>
      </c>
      <c r="C1102" s="307">
        <f t="shared" si="17"/>
        <v>35.657440000000001</v>
      </c>
      <c r="G1102" s="307">
        <v>39.183999999999997</v>
      </c>
    </row>
    <row r="1103" spans="1:7" ht="30" customHeight="1">
      <c r="A1103" s="170">
        <v>7294</v>
      </c>
      <c r="B1103" s="306" t="s">
        <v>1039</v>
      </c>
      <c r="C1103" s="307">
        <f t="shared" si="17"/>
        <v>36.4</v>
      </c>
      <c r="G1103" s="307">
        <v>40</v>
      </c>
    </row>
    <row r="1104" spans="1:7" ht="30" customHeight="1">
      <c r="A1104" s="170">
        <v>5318</v>
      </c>
      <c r="B1104" s="306" t="s">
        <v>1038</v>
      </c>
      <c r="C1104" s="307">
        <f t="shared" si="17"/>
        <v>7.6712999999999996</v>
      </c>
      <c r="G1104" s="307">
        <f>G1098</f>
        <v>8.43</v>
      </c>
    </row>
    <row r="1105" spans="1:7" ht="30" customHeight="1">
      <c r="A1105" s="170">
        <v>3768</v>
      </c>
      <c r="B1105" s="306" t="s">
        <v>1033</v>
      </c>
      <c r="C1105" s="307">
        <f t="shared" si="17"/>
        <v>2.0110999999999999</v>
      </c>
      <c r="G1105" s="307">
        <f>G1091</f>
        <v>2.21</v>
      </c>
    </row>
    <row r="1106" spans="1:7" ht="30" customHeight="1">
      <c r="A1106" s="170">
        <v>6115</v>
      </c>
      <c r="B1106" s="306" t="s">
        <v>509</v>
      </c>
      <c r="C1106" s="307">
        <f t="shared" si="17"/>
        <v>6.4064000000000005</v>
      </c>
      <c r="G1106" s="307">
        <f>G1100</f>
        <v>7.04</v>
      </c>
    </row>
    <row r="1107" spans="1:7" ht="30" customHeight="1">
      <c r="A1107" s="170">
        <v>4783</v>
      </c>
      <c r="B1107" s="306" t="s">
        <v>946</v>
      </c>
      <c r="C1107" s="307">
        <f t="shared" si="17"/>
        <v>8.6722999999999999</v>
      </c>
      <c r="G1107" s="307">
        <f>G1101</f>
        <v>9.5299999999999994</v>
      </c>
    </row>
    <row r="1108" spans="1:7" ht="30" customHeight="1">
      <c r="A1108" s="170">
        <v>12815</v>
      </c>
      <c r="B1108" s="306" t="s">
        <v>1041</v>
      </c>
      <c r="C1108" s="307">
        <f t="shared" si="17"/>
        <v>4.3589000000000002</v>
      </c>
      <c r="G1108" s="307">
        <v>4.79</v>
      </c>
    </row>
    <row r="1109" spans="1:7" ht="30" customHeight="1">
      <c r="A1109" s="170">
        <v>7348</v>
      </c>
      <c r="B1109" s="306" t="s">
        <v>1042</v>
      </c>
      <c r="C1109" s="307">
        <f t="shared" si="17"/>
        <v>9.218300000000001</v>
      </c>
      <c r="G1109" s="307">
        <v>10.130000000000001</v>
      </c>
    </row>
    <row r="1110" spans="1:7" ht="30" customHeight="1">
      <c r="A1110" s="170">
        <v>6115</v>
      </c>
      <c r="B1110" s="306" t="s">
        <v>509</v>
      </c>
      <c r="C1110" s="307">
        <f t="shared" si="17"/>
        <v>6.4064000000000005</v>
      </c>
      <c r="G1110" s="307">
        <f>G1106</f>
        <v>7.04</v>
      </c>
    </row>
    <row r="1111" spans="1:7" ht="30" customHeight="1">
      <c r="A1111" s="170">
        <v>4783</v>
      </c>
      <c r="B1111" s="306" t="s">
        <v>946</v>
      </c>
      <c r="C1111" s="307">
        <f t="shared" si="17"/>
        <v>8.6722999999999999</v>
      </c>
      <c r="G1111" s="307">
        <f>G1107</f>
        <v>9.5299999999999994</v>
      </c>
    </row>
    <row r="1112" spans="1:7" ht="51" customHeight="1">
      <c r="A1112" s="170">
        <v>7337</v>
      </c>
      <c r="B1112" s="306" t="s">
        <v>1320</v>
      </c>
      <c r="C1112" s="307">
        <f t="shared" si="17"/>
        <v>27.054300000000001</v>
      </c>
      <c r="G1112" s="307">
        <v>29.73</v>
      </c>
    </row>
    <row r="1113" spans="1:7" ht="30" customHeight="1">
      <c r="A1113" s="170">
        <v>6115</v>
      </c>
      <c r="B1113" s="306" t="s">
        <v>509</v>
      </c>
      <c r="C1113" s="307">
        <f t="shared" si="17"/>
        <v>6.4064000000000005</v>
      </c>
      <c r="G1113" s="307">
        <f>G1110</f>
        <v>7.04</v>
      </c>
    </row>
    <row r="1114" spans="1:7" ht="30" customHeight="1">
      <c r="A1114" s="170">
        <v>4750</v>
      </c>
      <c r="B1114" s="306" t="s">
        <v>576</v>
      </c>
      <c r="C1114" s="307">
        <f t="shared" si="17"/>
        <v>8.6722999999999999</v>
      </c>
      <c r="G1114" s="307">
        <f>G1067</f>
        <v>9.5299999999999994</v>
      </c>
    </row>
    <row r="1115" spans="1:7" ht="30" customHeight="1">
      <c r="A1115" s="310">
        <v>2707</v>
      </c>
      <c r="B1115" s="314" t="s">
        <v>1061</v>
      </c>
      <c r="C1115" s="307">
        <f t="shared" si="17"/>
        <v>59.15</v>
      </c>
      <c r="G1115" s="307">
        <v>65</v>
      </c>
    </row>
    <row r="1116" spans="1:7" ht="30" customHeight="1">
      <c r="A1116" s="310">
        <v>4069</v>
      </c>
      <c r="B1116" s="314" t="s">
        <v>1062</v>
      </c>
      <c r="C1116" s="307">
        <f t="shared" si="17"/>
        <v>18.256218301499949</v>
      </c>
      <c r="G1116" s="307">
        <f>(25/1.8534)*(1.4873)</f>
        <v>20.061778353296646</v>
      </c>
    </row>
    <row r="1117" spans="1:7" ht="30" customHeight="1">
      <c r="A1117" s="310">
        <v>10508</v>
      </c>
      <c r="B1117" s="314" t="s">
        <v>488</v>
      </c>
      <c r="C1117" s="307">
        <f t="shared" si="17"/>
        <v>10.292100000000001</v>
      </c>
      <c r="G1117" s="307">
        <v>11.31</v>
      </c>
    </row>
    <row r="1118" spans="1:7" ht="30" customHeight="1">
      <c r="A1118" s="310">
        <v>2707</v>
      </c>
      <c r="B1118" s="314" t="s">
        <v>1365</v>
      </c>
      <c r="C1118" s="307">
        <f t="shared" si="17"/>
        <v>7.4347000000000003</v>
      </c>
      <c r="G1118" s="616">
        <v>8.17</v>
      </c>
    </row>
    <row r="1119" spans="1:7" ht="30" customHeight="1">
      <c r="A1119" s="170">
        <v>1379</v>
      </c>
      <c r="B1119" s="306" t="s">
        <v>549</v>
      </c>
      <c r="C1119" s="307">
        <f t="shared" si="17"/>
        <v>0.50050000000000006</v>
      </c>
      <c r="G1119" s="307">
        <f>G1041</f>
        <v>0.55000000000000004</v>
      </c>
    </row>
    <row r="1120" spans="1:7" ht="30" customHeight="1">
      <c r="A1120" s="170">
        <v>370</v>
      </c>
      <c r="B1120" s="306" t="s">
        <v>618</v>
      </c>
      <c r="C1120" s="307">
        <f t="shared" si="17"/>
        <v>31.85</v>
      </c>
      <c r="G1120" s="307">
        <f>G162</f>
        <v>35</v>
      </c>
    </row>
    <row r="1121" spans="1:7" ht="30" customHeight="1">
      <c r="A1121" s="170">
        <v>6111</v>
      </c>
      <c r="B1121" s="306" t="s">
        <v>535</v>
      </c>
      <c r="C1121" s="307">
        <f t="shared" si="17"/>
        <v>6.4064000000000005</v>
      </c>
      <c r="G1121" s="307">
        <f>G1058</f>
        <v>7.04</v>
      </c>
    </row>
    <row r="1122" spans="1:7" ht="30" customHeight="1">
      <c r="A1122" s="170">
        <v>4750</v>
      </c>
      <c r="B1122" s="306" t="s">
        <v>576</v>
      </c>
      <c r="C1122" s="307">
        <f t="shared" si="17"/>
        <v>8.6722999999999999</v>
      </c>
      <c r="G1122" s="307">
        <f>G1114</f>
        <v>9.5299999999999994</v>
      </c>
    </row>
    <row r="1123" spans="1:7" ht="30" customHeight="1">
      <c r="A1123" s="170">
        <v>6025</v>
      </c>
      <c r="B1123" s="306" t="s">
        <v>1412</v>
      </c>
      <c r="C1123" s="307">
        <f t="shared" si="17"/>
        <v>236.65460000000002</v>
      </c>
      <c r="G1123" s="616">
        <v>260.06</v>
      </c>
    </row>
    <row r="1124" spans="1:7" ht="30" customHeight="1">
      <c r="A1124" s="170">
        <v>6111</v>
      </c>
      <c r="B1124" s="306" t="s">
        <v>535</v>
      </c>
      <c r="C1124" s="307">
        <f t="shared" si="17"/>
        <v>6.4064000000000005</v>
      </c>
      <c r="G1124" s="307">
        <f>G1121</f>
        <v>7.04</v>
      </c>
    </row>
    <row r="1125" spans="1:7" ht="30" customHeight="1">
      <c r="A1125" s="170">
        <v>4750</v>
      </c>
      <c r="B1125" s="306" t="s">
        <v>576</v>
      </c>
      <c r="C1125" s="307">
        <f t="shared" si="17"/>
        <v>8.6722999999999999</v>
      </c>
      <c r="G1125" s="307">
        <f>G1122</f>
        <v>9.5299999999999994</v>
      </c>
    </row>
    <row r="1126" spans="1:7" ht="30" customHeight="1">
      <c r="A1126" s="170">
        <v>11587</v>
      </c>
      <c r="B1126" s="306" t="s">
        <v>684</v>
      </c>
      <c r="C1126" s="307">
        <f t="shared" si="17"/>
        <v>9.1</v>
      </c>
      <c r="G1126" s="307">
        <v>10</v>
      </c>
    </row>
    <row r="1127" spans="1:7" ht="30" customHeight="1">
      <c r="A1127" s="170">
        <v>5318</v>
      </c>
      <c r="B1127" s="306" t="s">
        <v>1038</v>
      </c>
      <c r="C1127" s="307">
        <f t="shared" si="17"/>
        <v>7.6712999999999996</v>
      </c>
      <c r="G1127" s="307">
        <f>G1104</f>
        <v>8.43</v>
      </c>
    </row>
    <row r="1128" spans="1:7" ht="30" customHeight="1">
      <c r="A1128" s="170">
        <v>3768</v>
      </c>
      <c r="B1128" s="306" t="s">
        <v>1033</v>
      </c>
      <c r="C1128" s="307">
        <f t="shared" si="17"/>
        <v>2.0110999999999999</v>
      </c>
      <c r="G1128" s="307">
        <f>G1091</f>
        <v>2.21</v>
      </c>
    </row>
    <row r="1129" spans="1:7" s="88" customFormat="1" ht="30" customHeight="1">
      <c r="A1129" s="170">
        <v>11174</v>
      </c>
      <c r="B1129" s="306" t="s">
        <v>1371</v>
      </c>
      <c r="C1129" s="307">
        <f t="shared" si="17"/>
        <v>308.13510000000002</v>
      </c>
      <c r="G1129" s="307">
        <v>338.61</v>
      </c>
    </row>
    <row r="1130" spans="1:7" ht="30" customHeight="1">
      <c r="A1130" s="170">
        <v>5104</v>
      </c>
      <c r="B1130" s="306" t="s">
        <v>670</v>
      </c>
      <c r="C1130" s="307">
        <f t="shared" si="17"/>
        <v>34.543600000000005</v>
      </c>
      <c r="G1130" s="307">
        <v>37.96</v>
      </c>
    </row>
    <row r="1131" spans="1:7" ht="30" customHeight="1">
      <c r="A1131" s="170">
        <v>10952</v>
      </c>
      <c r="B1131" s="306" t="s">
        <v>642</v>
      </c>
      <c r="C1131" s="307">
        <f t="shared" si="17"/>
        <v>4.9686000000000003</v>
      </c>
      <c r="G1131" s="307">
        <v>5.46</v>
      </c>
    </row>
    <row r="1132" spans="1:7" ht="30" customHeight="1">
      <c r="A1132" s="170">
        <v>6115</v>
      </c>
      <c r="B1132" s="306" t="s">
        <v>509</v>
      </c>
      <c r="C1132" s="307">
        <f t="shared" si="17"/>
        <v>6.4064000000000005</v>
      </c>
      <c r="G1132" s="307">
        <f>G1113</f>
        <v>7.04</v>
      </c>
    </row>
    <row r="1133" spans="1:7" ht="30" customHeight="1">
      <c r="A1133" s="170">
        <v>4783</v>
      </c>
      <c r="B1133" s="306" t="s">
        <v>946</v>
      </c>
      <c r="C1133" s="307">
        <f t="shared" si="17"/>
        <v>8.6722999999999999</v>
      </c>
      <c r="G1133" s="307">
        <v>9.5299999999999994</v>
      </c>
    </row>
    <row r="1134" spans="1:7" ht="30" customHeight="1">
      <c r="A1134" s="170">
        <v>6111</v>
      </c>
      <c r="B1134" s="306" t="s">
        <v>535</v>
      </c>
      <c r="C1134" s="307">
        <f t="shared" si="17"/>
        <v>6.4064000000000005</v>
      </c>
      <c r="G1134" s="307">
        <f>G1124</f>
        <v>7.04</v>
      </c>
    </row>
    <row r="1135" spans="1:7" ht="30" customHeight="1">
      <c r="A1135" s="170">
        <v>6110</v>
      </c>
      <c r="B1135" s="306" t="s">
        <v>631</v>
      </c>
      <c r="C1135" s="307">
        <f t="shared" si="17"/>
        <v>8.19</v>
      </c>
      <c r="G1135" s="307">
        <v>9</v>
      </c>
    </row>
    <row r="1136" spans="1:7" ht="30" customHeight="1">
      <c r="A1136" s="310">
        <v>20232</v>
      </c>
      <c r="B1136" s="314" t="s">
        <v>1053</v>
      </c>
      <c r="C1136" s="307">
        <f t="shared" si="17"/>
        <v>2370.5500000000002</v>
      </c>
      <c r="G1136" s="616">
        <v>2605</v>
      </c>
    </row>
    <row r="1137" spans="1:7" ht="30" customHeight="1">
      <c r="A1137" s="170">
        <v>12743</v>
      </c>
      <c r="B1137" s="306" t="s">
        <v>1252</v>
      </c>
      <c r="C1137" s="307">
        <f t="shared" si="17"/>
        <v>12.6126</v>
      </c>
      <c r="G1137" s="307">
        <v>13.86</v>
      </c>
    </row>
    <row r="1138" spans="1:7" ht="30" customHeight="1">
      <c r="A1138" s="170">
        <v>12746</v>
      </c>
      <c r="B1138" s="306" t="s">
        <v>1253</v>
      </c>
      <c r="C1138" s="307">
        <f t="shared" si="17"/>
        <v>37.246299999999998</v>
      </c>
      <c r="G1138" s="307">
        <v>40.93</v>
      </c>
    </row>
    <row r="1139" spans="1:7" ht="30" customHeight="1">
      <c r="A1139" s="170">
        <v>13388</v>
      </c>
      <c r="B1139" s="306" t="s">
        <v>671</v>
      </c>
      <c r="C1139" s="307">
        <f t="shared" si="17"/>
        <v>40.831699999999998</v>
      </c>
      <c r="G1139" s="307">
        <v>44.87</v>
      </c>
    </row>
    <row r="1140" spans="1:7" s="88" customFormat="1" ht="30" customHeight="1">
      <c r="A1140" s="170">
        <v>2436</v>
      </c>
      <c r="B1140" s="306" t="s">
        <v>513</v>
      </c>
      <c r="C1140" s="307">
        <f t="shared" si="17"/>
        <v>12.2759</v>
      </c>
      <c r="G1140" s="307">
        <v>13.49</v>
      </c>
    </row>
    <row r="1141" spans="1:7" ht="30" customHeight="1">
      <c r="A1141" s="170">
        <v>6113</v>
      </c>
      <c r="B1141" s="306" t="s">
        <v>514</v>
      </c>
      <c r="C1141" s="307">
        <f t="shared" si="17"/>
        <v>6.4064000000000005</v>
      </c>
      <c r="G1141" s="307">
        <v>7.04</v>
      </c>
    </row>
    <row r="1142" spans="1:7" ht="30" customHeight="1">
      <c r="A1142" s="310">
        <v>20233</v>
      </c>
      <c r="B1142" s="314" t="s">
        <v>1054</v>
      </c>
      <c r="C1142" s="307">
        <f t="shared" si="17"/>
        <v>3024.8855000000003</v>
      </c>
      <c r="G1142" s="616">
        <v>3324.05</v>
      </c>
    </row>
    <row r="1143" spans="1:7" ht="30" customHeight="1">
      <c r="A1143" s="170">
        <v>12743</v>
      </c>
      <c r="B1143" s="306" t="s">
        <v>1252</v>
      </c>
      <c r="C1143" s="307">
        <f t="shared" si="17"/>
        <v>12.6126</v>
      </c>
      <c r="G1143" s="307">
        <f>G1137</f>
        <v>13.86</v>
      </c>
    </row>
    <row r="1144" spans="1:7" ht="30" customHeight="1">
      <c r="A1144" s="170">
        <v>12746</v>
      </c>
      <c r="B1144" s="306" t="s">
        <v>1253</v>
      </c>
      <c r="C1144" s="307">
        <f t="shared" si="17"/>
        <v>37.246299999999998</v>
      </c>
      <c r="G1144" s="307">
        <f>G1138</f>
        <v>40.93</v>
      </c>
    </row>
    <row r="1145" spans="1:7" ht="30" customHeight="1">
      <c r="A1145" s="170">
        <v>13388</v>
      </c>
      <c r="B1145" s="306" t="s">
        <v>671</v>
      </c>
      <c r="C1145" s="307">
        <f t="shared" si="17"/>
        <v>40.831699999999998</v>
      </c>
      <c r="G1145" s="307">
        <f>G1139</f>
        <v>44.87</v>
      </c>
    </row>
    <row r="1146" spans="1:7" ht="30" customHeight="1">
      <c r="A1146" s="170">
        <v>2436</v>
      </c>
      <c r="B1146" s="306" t="s">
        <v>513</v>
      </c>
      <c r="C1146" s="307">
        <f t="shared" si="17"/>
        <v>12.2759</v>
      </c>
      <c r="G1146" s="307">
        <v>13.49</v>
      </c>
    </row>
    <row r="1147" spans="1:7" ht="30" customHeight="1">
      <c r="A1147" s="170">
        <v>6113</v>
      </c>
      <c r="B1147" s="306" t="s">
        <v>514</v>
      </c>
      <c r="C1147" s="307">
        <f t="shared" si="17"/>
        <v>6.4064000000000005</v>
      </c>
      <c r="G1147" s="307">
        <v>7.04</v>
      </c>
    </row>
    <row r="1148" spans="1:7" ht="30" customHeight="1">
      <c r="A1148" s="310">
        <v>20234</v>
      </c>
      <c r="B1148" s="314" t="s">
        <v>1055</v>
      </c>
      <c r="C1148" s="307">
        <f t="shared" si="17"/>
        <v>3005.73</v>
      </c>
      <c r="G1148" s="616">
        <v>3303</v>
      </c>
    </row>
    <row r="1149" spans="1:7" ht="30" customHeight="1">
      <c r="A1149" s="170">
        <v>12743</v>
      </c>
      <c r="B1149" s="306" t="s">
        <v>1252</v>
      </c>
      <c r="C1149" s="307">
        <f t="shared" si="17"/>
        <v>12.6126</v>
      </c>
      <c r="G1149" s="307">
        <f>G1143</f>
        <v>13.86</v>
      </c>
    </row>
    <row r="1150" spans="1:7" ht="30" customHeight="1">
      <c r="A1150" s="170">
        <v>12746</v>
      </c>
      <c r="B1150" s="306" t="s">
        <v>1253</v>
      </c>
      <c r="C1150" s="307">
        <f t="shared" si="17"/>
        <v>37.246299999999998</v>
      </c>
      <c r="G1150" s="307">
        <f>G1144</f>
        <v>40.93</v>
      </c>
    </row>
    <row r="1151" spans="1:7" ht="30" customHeight="1">
      <c r="A1151" s="170">
        <v>13388</v>
      </c>
      <c r="B1151" s="306" t="s">
        <v>671</v>
      </c>
      <c r="C1151" s="307">
        <f t="shared" si="17"/>
        <v>40.831699999999998</v>
      </c>
      <c r="G1151" s="307">
        <f>G1145</f>
        <v>44.87</v>
      </c>
    </row>
    <row r="1152" spans="1:7" ht="30" customHeight="1">
      <c r="A1152" s="170">
        <v>2436</v>
      </c>
      <c r="B1152" s="306" t="s">
        <v>513</v>
      </c>
      <c r="C1152" s="307">
        <f t="shared" si="17"/>
        <v>12.2759</v>
      </c>
      <c r="G1152" s="307">
        <f>G1146</f>
        <v>13.49</v>
      </c>
    </row>
    <row r="1153" spans="1:7" ht="30" customHeight="1">
      <c r="A1153" s="170">
        <v>6113</v>
      </c>
      <c r="B1153" s="306" t="s">
        <v>514</v>
      </c>
      <c r="C1153" s="307">
        <f t="shared" si="17"/>
        <v>6.4064000000000005</v>
      </c>
      <c r="G1153" s="307">
        <f>G1147</f>
        <v>7.04</v>
      </c>
    </row>
    <row r="1154" spans="1:7" ht="30" customHeight="1">
      <c r="A1154" s="310" t="s">
        <v>688</v>
      </c>
      <c r="B1154" s="314" t="s">
        <v>689</v>
      </c>
      <c r="C1154" s="307">
        <f t="shared" si="17"/>
        <v>301.94710000000003</v>
      </c>
      <c r="G1154" s="616">
        <v>331.81</v>
      </c>
    </row>
    <row r="1155" spans="1:7" ht="30" customHeight="1">
      <c r="A1155" s="170">
        <v>7325</v>
      </c>
      <c r="B1155" s="306" t="s">
        <v>690</v>
      </c>
      <c r="C1155" s="307">
        <f t="shared" si="17"/>
        <v>5.7057000000000002</v>
      </c>
      <c r="G1155" s="307">
        <v>6.27</v>
      </c>
    </row>
    <row r="1156" spans="1:7" ht="30" customHeight="1">
      <c r="A1156" s="170">
        <v>6111</v>
      </c>
      <c r="B1156" s="306" t="s">
        <v>535</v>
      </c>
      <c r="C1156" s="307">
        <f t="shared" si="17"/>
        <v>6.4064000000000005</v>
      </c>
      <c r="G1156" s="618">
        <f>G1134</f>
        <v>7.04</v>
      </c>
    </row>
    <row r="1157" spans="1:7" ht="30" customHeight="1">
      <c r="A1157" s="170">
        <v>4750</v>
      </c>
      <c r="B1157" s="306" t="s">
        <v>576</v>
      </c>
      <c r="C1157" s="307">
        <f t="shared" si="17"/>
        <v>8.6722999999999999</v>
      </c>
      <c r="G1157" s="307">
        <v>9.5299999999999994</v>
      </c>
    </row>
    <row r="1158" spans="1:7" ht="30" customHeight="1">
      <c r="A1158" s="170">
        <v>10532</v>
      </c>
      <c r="B1158" s="306" t="s">
        <v>675</v>
      </c>
      <c r="C1158" s="307">
        <f t="shared" si="17"/>
        <v>2.0474999999999999</v>
      </c>
      <c r="G1158" s="307">
        <v>2.25</v>
      </c>
    </row>
    <row r="1159" spans="1:7" ht="30" customHeight="1">
      <c r="A1159" s="170">
        <v>1379</v>
      </c>
      <c r="B1159" s="306" t="s">
        <v>549</v>
      </c>
      <c r="C1159" s="307">
        <f t="shared" si="17"/>
        <v>0.50050000000000006</v>
      </c>
      <c r="G1159" s="307">
        <v>0.55000000000000004</v>
      </c>
    </row>
    <row r="1160" spans="1:7" ht="30" customHeight="1">
      <c r="A1160" s="170">
        <v>1106</v>
      </c>
      <c r="B1160" s="306" t="s">
        <v>643</v>
      </c>
      <c r="C1160" s="307">
        <f t="shared" si="17"/>
        <v>1.0465</v>
      </c>
      <c r="G1160" s="307">
        <v>1.1499999999999999</v>
      </c>
    </row>
    <row r="1161" spans="1:7" ht="30" customHeight="1">
      <c r="A1161" s="170">
        <v>370</v>
      </c>
      <c r="B1161" s="306" t="s">
        <v>618</v>
      </c>
      <c r="C1161" s="307">
        <f t="shared" si="17"/>
        <v>31.85</v>
      </c>
      <c r="G1161" s="307">
        <f>G1120</f>
        <v>35</v>
      </c>
    </row>
    <row r="1162" spans="1:7" ht="30" customHeight="1">
      <c r="A1162" s="170">
        <v>6111</v>
      </c>
      <c r="B1162" s="306" t="s">
        <v>535</v>
      </c>
      <c r="C1162" s="307">
        <f t="shared" ref="C1162:C1225" si="18">G1162*0.91</f>
        <v>6.4064000000000005</v>
      </c>
      <c r="G1162" s="307">
        <f>G1156</f>
        <v>7.04</v>
      </c>
    </row>
    <row r="1163" spans="1:7" ht="30" customHeight="1">
      <c r="A1163" s="170">
        <v>4750</v>
      </c>
      <c r="B1163" s="306" t="s">
        <v>576</v>
      </c>
      <c r="C1163" s="307">
        <f t="shared" si="18"/>
        <v>8.6722999999999999</v>
      </c>
      <c r="G1163" s="307">
        <f>G1157</f>
        <v>9.5299999999999994</v>
      </c>
    </row>
    <row r="1164" spans="1:7" ht="30" customHeight="1">
      <c r="A1164" s="245">
        <v>370</v>
      </c>
      <c r="B1164" s="244" t="s">
        <v>618</v>
      </c>
      <c r="C1164" s="307">
        <f t="shared" si="18"/>
        <v>31.85</v>
      </c>
      <c r="G1164" s="307">
        <f>G1161</f>
        <v>35</v>
      </c>
    </row>
    <row r="1165" spans="1:7" ht="30" customHeight="1">
      <c r="A1165" s="245">
        <v>1292</v>
      </c>
      <c r="B1165" s="244" t="s">
        <v>1439</v>
      </c>
      <c r="C1165" s="307">
        <f t="shared" si="18"/>
        <v>20.547799999999999</v>
      </c>
      <c r="G1165" s="307">
        <v>22.58</v>
      </c>
    </row>
    <row r="1166" spans="1:7" ht="30" customHeight="1">
      <c r="A1166" s="245">
        <v>1379</v>
      </c>
      <c r="B1166" s="244" t="s">
        <v>549</v>
      </c>
      <c r="C1166" s="307">
        <f t="shared" si="18"/>
        <v>0.50050000000000006</v>
      </c>
      <c r="G1166" s="307">
        <f>G1159</f>
        <v>0.55000000000000004</v>
      </c>
    </row>
    <row r="1167" spans="1:7" ht="30" customHeight="1">
      <c r="A1167" s="245">
        <v>1380</v>
      </c>
      <c r="B1167" s="244" t="s">
        <v>638</v>
      </c>
      <c r="C1167" s="307">
        <f t="shared" si="18"/>
        <v>3.64</v>
      </c>
      <c r="G1167" s="307">
        <f>G1064</f>
        <v>4</v>
      </c>
    </row>
    <row r="1168" spans="1:7" ht="30" customHeight="1">
      <c r="A1168" s="245">
        <v>4760</v>
      </c>
      <c r="B1168" s="244" t="s">
        <v>515</v>
      </c>
      <c r="C1168" s="307">
        <f t="shared" si="18"/>
        <v>7.8806000000000003</v>
      </c>
      <c r="G1168" s="307">
        <v>8.66</v>
      </c>
    </row>
    <row r="1169" spans="1:7" ht="30" customHeight="1">
      <c r="A1169" s="245">
        <v>6111</v>
      </c>
      <c r="B1169" s="244" t="s">
        <v>535</v>
      </c>
      <c r="C1169" s="307">
        <f t="shared" si="18"/>
        <v>6.4064000000000005</v>
      </c>
      <c r="G1169" s="307">
        <f>G1162</f>
        <v>7.04</v>
      </c>
    </row>
    <row r="1170" spans="1:7" ht="30" customHeight="1">
      <c r="A1170" s="170">
        <v>234</v>
      </c>
      <c r="B1170" s="306" t="s">
        <v>693</v>
      </c>
      <c r="C1170" s="307">
        <f t="shared" si="18"/>
        <v>0.37309999999999999</v>
      </c>
      <c r="G1170" s="307">
        <v>0.41</v>
      </c>
    </row>
    <row r="1171" spans="1:7" ht="30" customHeight="1">
      <c r="A1171" s="170">
        <v>10764</v>
      </c>
      <c r="B1171" s="306" t="s">
        <v>694</v>
      </c>
      <c r="C1171" s="307">
        <f t="shared" si="18"/>
        <v>3.5853999999999999</v>
      </c>
      <c r="G1171" s="307">
        <v>3.94</v>
      </c>
    </row>
    <row r="1172" spans="1:7" ht="30" customHeight="1">
      <c r="A1172" s="170">
        <v>3671</v>
      </c>
      <c r="B1172" s="306" t="s">
        <v>695</v>
      </c>
      <c r="C1172" s="307">
        <f t="shared" si="18"/>
        <v>1.4378000000000002</v>
      </c>
      <c r="G1172" s="307">
        <v>1.58</v>
      </c>
    </row>
    <row r="1173" spans="1:7" ht="30" customHeight="1">
      <c r="A1173" s="170">
        <v>1380</v>
      </c>
      <c r="B1173" s="306" t="s">
        <v>638</v>
      </c>
      <c r="C1173" s="307">
        <f t="shared" si="18"/>
        <v>3.64</v>
      </c>
      <c r="G1173" s="307">
        <f>G1167</f>
        <v>4</v>
      </c>
    </row>
    <row r="1174" spans="1:7" ht="30" customHeight="1">
      <c r="A1174" s="170">
        <v>6115</v>
      </c>
      <c r="B1174" s="306" t="s">
        <v>509</v>
      </c>
      <c r="C1174" s="307">
        <f t="shared" si="18"/>
        <v>6.4064000000000005</v>
      </c>
      <c r="G1174" s="307">
        <f>G1132</f>
        <v>7.04</v>
      </c>
    </row>
    <row r="1175" spans="1:7" ht="30" customHeight="1">
      <c r="A1175" s="170">
        <v>4755</v>
      </c>
      <c r="B1175" s="306" t="s">
        <v>696</v>
      </c>
      <c r="C1175" s="307">
        <f t="shared" si="18"/>
        <v>8.162700000000001</v>
      </c>
      <c r="G1175" s="307">
        <v>8.9700000000000006</v>
      </c>
    </row>
    <row r="1176" spans="1:7" ht="30" customHeight="1">
      <c r="A1176" s="170" t="s">
        <v>521</v>
      </c>
      <c r="B1176" s="306" t="s">
        <v>498</v>
      </c>
      <c r="C1176" s="307">
        <f t="shared" si="18"/>
        <v>352.77060000000006</v>
      </c>
      <c r="G1176" s="311">
        <f>G90</f>
        <v>387.66</v>
      </c>
    </row>
    <row r="1177" spans="1:7" ht="30" customHeight="1">
      <c r="A1177" s="170">
        <v>142</v>
      </c>
      <c r="B1177" s="306" t="s">
        <v>697</v>
      </c>
      <c r="C1177" s="307">
        <f t="shared" si="18"/>
        <v>42.997500000000002</v>
      </c>
      <c r="G1177" s="307">
        <v>47.25</v>
      </c>
    </row>
    <row r="1178" spans="1:7" ht="30" customHeight="1">
      <c r="A1178" s="170">
        <v>10764</v>
      </c>
      <c r="B1178" s="306" t="s">
        <v>694</v>
      </c>
      <c r="C1178" s="307">
        <f t="shared" si="18"/>
        <v>3.5853999999999999</v>
      </c>
      <c r="G1178" s="307">
        <v>3.94</v>
      </c>
    </row>
    <row r="1179" spans="1:7" ht="30" customHeight="1">
      <c r="A1179" s="170">
        <v>4035</v>
      </c>
      <c r="B1179" s="306" t="s">
        <v>1239</v>
      </c>
      <c r="C1179" s="307">
        <f t="shared" si="18"/>
        <v>4.0949999999999998</v>
      </c>
      <c r="G1179" s="307">
        <v>4.5</v>
      </c>
    </row>
    <row r="1180" spans="1:7" ht="30" customHeight="1">
      <c r="A1180" s="170">
        <v>21141</v>
      </c>
      <c r="B1180" s="306" t="s">
        <v>1240</v>
      </c>
      <c r="C1180" s="307">
        <f t="shared" si="18"/>
        <v>7.8078000000000003</v>
      </c>
      <c r="G1180" s="307">
        <v>8.58</v>
      </c>
    </row>
    <row r="1181" spans="1:7" ht="30" customHeight="1">
      <c r="A1181" s="170">
        <v>10487</v>
      </c>
      <c r="B1181" s="306" t="s">
        <v>1241</v>
      </c>
      <c r="C1181" s="307">
        <f t="shared" si="18"/>
        <v>1.5379</v>
      </c>
      <c r="G1181" s="307">
        <v>1.69</v>
      </c>
    </row>
    <row r="1182" spans="1:7" ht="30" customHeight="1">
      <c r="A1182" s="170">
        <v>378</v>
      </c>
      <c r="B1182" s="306" t="s">
        <v>615</v>
      </c>
      <c r="C1182" s="307">
        <f t="shared" si="18"/>
        <v>8.6722999999999999</v>
      </c>
      <c r="G1182" s="307">
        <v>9.5299999999999994</v>
      </c>
    </row>
    <row r="1183" spans="1:7" ht="30" customHeight="1">
      <c r="A1183" s="170">
        <v>6111</v>
      </c>
      <c r="B1183" s="306" t="s">
        <v>535</v>
      </c>
      <c r="C1183" s="307">
        <f t="shared" si="18"/>
        <v>6.4064000000000005</v>
      </c>
      <c r="G1183" s="307">
        <f>G1169</f>
        <v>7.04</v>
      </c>
    </row>
    <row r="1184" spans="1:7" ht="30" customHeight="1">
      <c r="A1184" s="170">
        <v>4750</v>
      </c>
      <c r="B1184" s="306" t="s">
        <v>576</v>
      </c>
      <c r="C1184" s="307">
        <f t="shared" si="18"/>
        <v>8.6722999999999999</v>
      </c>
      <c r="G1184" s="307">
        <f>G1163</f>
        <v>9.5299999999999994</v>
      </c>
    </row>
    <row r="1185" spans="1:7" ht="30" customHeight="1">
      <c r="A1185" s="170">
        <v>370</v>
      </c>
      <c r="B1185" s="306" t="s">
        <v>618</v>
      </c>
      <c r="C1185" s="307">
        <f t="shared" si="18"/>
        <v>31.85</v>
      </c>
      <c r="G1185" s="307">
        <f>G1164</f>
        <v>35</v>
      </c>
    </row>
    <row r="1186" spans="1:7" ht="30" customHeight="1">
      <c r="A1186" s="170">
        <v>1379</v>
      </c>
      <c r="B1186" s="306" t="s">
        <v>549</v>
      </c>
      <c r="C1186" s="307">
        <f t="shared" si="18"/>
        <v>0.50050000000000006</v>
      </c>
      <c r="G1186" s="307">
        <v>0.55000000000000004</v>
      </c>
    </row>
    <row r="1187" spans="1:7" ht="30" customHeight="1">
      <c r="A1187" s="170">
        <v>2691</v>
      </c>
      <c r="B1187" s="306" t="s">
        <v>1243</v>
      </c>
      <c r="C1187" s="307">
        <f t="shared" si="18"/>
        <v>5.0049999999999999</v>
      </c>
      <c r="G1187" s="307">
        <v>5.5</v>
      </c>
    </row>
    <row r="1188" spans="1:7" ht="30" customHeight="1">
      <c r="A1188" s="170">
        <v>4403</v>
      </c>
      <c r="B1188" s="306" t="s">
        <v>1244</v>
      </c>
      <c r="C1188" s="307">
        <f t="shared" si="18"/>
        <v>0.84630000000000005</v>
      </c>
      <c r="G1188" s="307">
        <v>0.93</v>
      </c>
    </row>
    <row r="1189" spans="1:7" ht="30" customHeight="1">
      <c r="A1189" s="170">
        <v>4720</v>
      </c>
      <c r="B1189" s="306" t="s">
        <v>1245</v>
      </c>
      <c r="C1189" s="307">
        <f t="shared" si="18"/>
        <v>93.629900000000006</v>
      </c>
      <c r="G1189" s="307">
        <v>102.89</v>
      </c>
    </row>
    <row r="1190" spans="1:7" ht="30" customHeight="1">
      <c r="A1190" s="170">
        <v>4721</v>
      </c>
      <c r="B1190" s="306" t="s">
        <v>1246</v>
      </c>
      <c r="C1190" s="307">
        <f t="shared" si="18"/>
        <v>81.900000000000006</v>
      </c>
      <c r="G1190" s="307">
        <v>90</v>
      </c>
    </row>
    <row r="1191" spans="1:7" ht="30" customHeight="1">
      <c r="A1191" s="170">
        <v>10533</v>
      </c>
      <c r="B1191" s="306" t="s">
        <v>606</v>
      </c>
      <c r="C1191" s="307">
        <f t="shared" si="18"/>
        <v>6.8250000000000002</v>
      </c>
      <c r="G1191" s="307">
        <v>7.5</v>
      </c>
    </row>
    <row r="1192" spans="1:7" ht="30" customHeight="1">
      <c r="A1192" s="170">
        <v>1213</v>
      </c>
      <c r="B1192" s="306" t="s">
        <v>1247</v>
      </c>
      <c r="C1192" s="307">
        <f t="shared" si="18"/>
        <v>8.6722999999999999</v>
      </c>
      <c r="G1192" s="307">
        <v>9.5299999999999994</v>
      </c>
    </row>
    <row r="1193" spans="1:7" ht="30" customHeight="1">
      <c r="A1193" s="170">
        <v>4243</v>
      </c>
      <c r="B1193" s="306" t="s">
        <v>625</v>
      </c>
      <c r="C1193" s="307">
        <f t="shared" si="18"/>
        <v>12.476100000000001</v>
      </c>
      <c r="G1193" s="307">
        <v>13.71</v>
      </c>
    </row>
    <row r="1194" spans="1:7" ht="30" customHeight="1">
      <c r="A1194" s="170">
        <v>4750</v>
      </c>
      <c r="B1194" s="306" t="s">
        <v>576</v>
      </c>
      <c r="C1194" s="307">
        <f t="shared" si="18"/>
        <v>8.6722999999999999</v>
      </c>
      <c r="G1194" s="307">
        <f>G1184</f>
        <v>9.5299999999999994</v>
      </c>
    </row>
    <row r="1195" spans="1:7" ht="30" customHeight="1">
      <c r="A1195" s="170">
        <v>6111</v>
      </c>
      <c r="B1195" s="306" t="s">
        <v>535</v>
      </c>
      <c r="C1195" s="307">
        <f t="shared" si="18"/>
        <v>6.4064000000000005</v>
      </c>
      <c r="G1195" s="307">
        <f>G1183</f>
        <v>7.04</v>
      </c>
    </row>
    <row r="1196" spans="1:7" ht="30" customHeight="1">
      <c r="A1196" s="170">
        <v>1379</v>
      </c>
      <c r="B1196" s="306" t="s">
        <v>549</v>
      </c>
      <c r="C1196" s="307">
        <f t="shared" si="18"/>
        <v>0.50050000000000006</v>
      </c>
      <c r="G1196" s="307">
        <v>0.55000000000000004</v>
      </c>
    </row>
    <row r="1197" spans="1:7" ht="30" customHeight="1">
      <c r="A1197" s="170">
        <v>1106</v>
      </c>
      <c r="B1197" s="306" t="s">
        <v>643</v>
      </c>
      <c r="C1197" s="307">
        <f t="shared" si="18"/>
        <v>1.0465</v>
      </c>
      <c r="G1197" s="307">
        <v>1.1499999999999999</v>
      </c>
    </row>
    <row r="1198" spans="1:7" ht="30" customHeight="1">
      <c r="A1198" s="170">
        <v>370</v>
      </c>
      <c r="B1198" s="306" t="s">
        <v>618</v>
      </c>
      <c r="C1198" s="307">
        <f t="shared" si="18"/>
        <v>31.85</v>
      </c>
      <c r="G1198" s="307">
        <f>G1185</f>
        <v>35</v>
      </c>
    </row>
    <row r="1199" spans="1:7" ht="30" customHeight="1">
      <c r="A1199" s="170">
        <v>6111</v>
      </c>
      <c r="B1199" s="306" t="s">
        <v>535</v>
      </c>
      <c r="C1199" s="307">
        <f t="shared" si="18"/>
        <v>6.4064000000000005</v>
      </c>
      <c r="G1199" s="307">
        <f>G1195</f>
        <v>7.04</v>
      </c>
    </row>
    <row r="1200" spans="1:7" ht="30" customHeight="1">
      <c r="A1200" s="170">
        <v>4750</v>
      </c>
      <c r="B1200" s="306" t="s">
        <v>576</v>
      </c>
      <c r="C1200" s="307">
        <f t="shared" si="18"/>
        <v>8.6722999999999999</v>
      </c>
      <c r="G1200" s="307">
        <f>G1194</f>
        <v>9.5299999999999994</v>
      </c>
    </row>
    <row r="1201" spans="1:7" ht="30" customHeight="1">
      <c r="A1201" s="245">
        <v>20232</v>
      </c>
      <c r="B1201" s="244" t="s">
        <v>1448</v>
      </c>
      <c r="C1201" s="307">
        <f t="shared" si="18"/>
        <v>86.941400000000002</v>
      </c>
      <c r="G1201" s="307">
        <v>95.54</v>
      </c>
    </row>
    <row r="1202" spans="1:7" ht="30" customHeight="1">
      <c r="A1202" s="170">
        <v>1381</v>
      </c>
      <c r="B1202" s="306" t="s">
        <v>686</v>
      </c>
      <c r="C1202" s="307">
        <f t="shared" si="18"/>
        <v>0.48230000000000006</v>
      </c>
      <c r="G1202" s="307">
        <v>0.53</v>
      </c>
    </row>
    <row r="1203" spans="1:7" ht="30" customHeight="1">
      <c r="A1203" s="170">
        <v>4750</v>
      </c>
      <c r="B1203" s="306" t="s">
        <v>576</v>
      </c>
      <c r="C1203" s="307">
        <f t="shared" si="18"/>
        <v>8.6722999999999999</v>
      </c>
      <c r="G1203" s="307">
        <f>G1200</f>
        <v>9.5299999999999994</v>
      </c>
    </row>
    <row r="1204" spans="1:7" ht="30" customHeight="1">
      <c r="A1204" s="170">
        <v>6111</v>
      </c>
      <c r="B1204" s="306" t="s">
        <v>535</v>
      </c>
      <c r="C1204" s="307">
        <f t="shared" si="18"/>
        <v>6.4064000000000005</v>
      </c>
      <c r="G1204" s="307">
        <f>G1199</f>
        <v>7.04</v>
      </c>
    </row>
    <row r="1205" spans="1:7" ht="51" customHeight="1">
      <c r="A1205" s="170">
        <v>100200</v>
      </c>
      <c r="B1205" s="150" t="s">
        <v>1445</v>
      </c>
      <c r="C1205" s="307">
        <f t="shared" si="18"/>
        <v>983.31869999999992</v>
      </c>
      <c r="G1205" s="616">
        <v>1080.57</v>
      </c>
    </row>
    <row r="1206" spans="1:7" ht="30" customHeight="1">
      <c r="A1206" s="170">
        <v>25398</v>
      </c>
      <c r="B1206" s="306" t="s">
        <v>1249</v>
      </c>
      <c r="C1206" s="307">
        <f t="shared" si="18"/>
        <v>2091.5167000000001</v>
      </c>
      <c r="G1206" s="307">
        <v>2298.37</v>
      </c>
    </row>
    <row r="1207" spans="1:7" ht="30" customHeight="1">
      <c r="A1207" s="170">
        <v>25399</v>
      </c>
      <c r="B1207" s="306" t="s">
        <v>1446</v>
      </c>
      <c r="C1207" s="307">
        <f t="shared" si="18"/>
        <v>478.06850000000003</v>
      </c>
      <c r="G1207" s="307">
        <v>525.35</v>
      </c>
    </row>
    <row r="1208" spans="1:7" ht="30" customHeight="1">
      <c r="A1208" s="310">
        <v>25399</v>
      </c>
      <c r="B1208" s="314" t="s">
        <v>1317</v>
      </c>
      <c r="C1208" s="307">
        <f t="shared" si="18"/>
        <v>49.14</v>
      </c>
      <c r="G1208" s="616">
        <v>54</v>
      </c>
    </row>
    <row r="1209" spans="1:7" ht="30" customHeight="1">
      <c r="A1209" s="170">
        <v>4750</v>
      </c>
      <c r="B1209" s="306" t="s">
        <v>576</v>
      </c>
      <c r="C1209" s="307">
        <f t="shared" si="18"/>
        <v>8.6722999999999999</v>
      </c>
      <c r="G1209" s="307">
        <f>G1203</f>
        <v>9.5299999999999994</v>
      </c>
    </row>
    <row r="1210" spans="1:7" ht="30" customHeight="1">
      <c r="A1210" s="170">
        <v>6111</v>
      </c>
      <c r="B1210" s="306" t="s">
        <v>535</v>
      </c>
      <c r="C1210" s="307">
        <f t="shared" si="18"/>
        <v>6.4064000000000005</v>
      </c>
      <c r="G1210" s="307">
        <f>G1204</f>
        <v>7.04</v>
      </c>
    </row>
    <row r="1211" spans="1:7" ht="30" customHeight="1">
      <c r="B1211" s="306" t="s">
        <v>1367</v>
      </c>
      <c r="C1211" s="307">
        <f t="shared" si="18"/>
        <v>43898.400000000001</v>
      </c>
      <c r="G1211" s="616">
        <v>48240</v>
      </c>
    </row>
    <row r="1212" spans="1:7" ht="30" customHeight="1">
      <c r="A1212" s="170">
        <v>3</v>
      </c>
      <c r="B1212" s="306" t="s">
        <v>1058</v>
      </c>
      <c r="C1212" s="307">
        <f t="shared" si="18"/>
        <v>3.2396000000000003</v>
      </c>
      <c r="G1212" s="307">
        <v>3.56</v>
      </c>
    </row>
    <row r="1213" spans="1:7" ht="30" customHeight="1">
      <c r="A1213" s="170">
        <v>6111</v>
      </c>
      <c r="B1213" s="306" t="s">
        <v>535</v>
      </c>
      <c r="C1213" s="307">
        <f t="shared" si="18"/>
        <v>6.4064000000000005</v>
      </c>
      <c r="G1213" s="307">
        <f>G1210</f>
        <v>7.04</v>
      </c>
    </row>
    <row r="1214" spans="1:7" s="589" customFormat="1" ht="30" customHeight="1">
      <c r="A1214" s="170">
        <v>244</v>
      </c>
      <c r="B1214" s="320" t="s">
        <v>2260</v>
      </c>
      <c r="C1214" s="307">
        <f t="shared" si="18"/>
        <v>14.068600000000002</v>
      </c>
      <c r="D1214" s="88"/>
      <c r="E1214" s="88"/>
      <c r="G1214" s="307">
        <v>15.46</v>
      </c>
    </row>
    <row r="1215" spans="1:7" s="589" customFormat="1" ht="30" customHeight="1">
      <c r="A1215" s="170">
        <v>7592</v>
      </c>
      <c r="B1215" s="320" t="s">
        <v>2263</v>
      </c>
      <c r="C1215" s="307">
        <f t="shared" si="18"/>
        <v>18.736900000000002</v>
      </c>
      <c r="D1215" s="88"/>
      <c r="E1215" s="88"/>
      <c r="G1215" s="307">
        <v>20.59</v>
      </c>
    </row>
    <row r="1216" spans="1:7" s="589" customFormat="1" ht="30" customHeight="1">
      <c r="A1216" s="170">
        <v>7595</v>
      </c>
      <c r="B1216" s="320" t="s">
        <v>2262</v>
      </c>
      <c r="C1216" s="307">
        <f t="shared" si="18"/>
        <v>15.206100000000001</v>
      </c>
      <c r="D1216" s="88"/>
      <c r="E1216" s="88"/>
      <c r="G1216" s="307">
        <v>16.71</v>
      </c>
    </row>
    <row r="1217" spans="1:7" s="589" customFormat="1" ht="30" customHeight="1">
      <c r="A1217" s="170">
        <v>344</v>
      </c>
      <c r="B1217" s="320" t="s">
        <v>2264</v>
      </c>
      <c r="C1217" s="307">
        <f t="shared" si="18"/>
        <v>10.829000000000001</v>
      </c>
      <c r="D1217" s="88"/>
      <c r="E1217" s="88"/>
      <c r="G1217" s="307">
        <v>11.9</v>
      </c>
    </row>
    <row r="1218" spans="1:7" s="589" customFormat="1" ht="30" customHeight="1">
      <c r="A1218" s="170">
        <v>5074</v>
      </c>
      <c r="B1218" s="320" t="s">
        <v>2265</v>
      </c>
      <c r="C1218" s="307">
        <f t="shared" si="18"/>
        <v>7.9078999999999997</v>
      </c>
      <c r="D1218" s="88"/>
      <c r="E1218" s="88"/>
      <c r="G1218" s="307">
        <v>8.69</v>
      </c>
    </row>
    <row r="1219" spans="1:7" s="589" customFormat="1" ht="30" customHeight="1">
      <c r="A1219" s="170">
        <v>6189</v>
      </c>
      <c r="B1219" s="320" t="s">
        <v>2236</v>
      </c>
      <c r="C1219" s="307">
        <f t="shared" si="18"/>
        <v>7.0343000000000009</v>
      </c>
      <c r="D1219" s="88"/>
      <c r="E1219" s="88"/>
      <c r="G1219" s="307">
        <v>7.73</v>
      </c>
    </row>
    <row r="1220" spans="1:7" s="589" customFormat="1" ht="30" customHeight="1">
      <c r="A1220" s="170">
        <v>4433</v>
      </c>
      <c r="B1220" s="320" t="s">
        <v>2257</v>
      </c>
      <c r="C1220" s="307">
        <f t="shared" si="18"/>
        <v>8.9088999999999992</v>
      </c>
      <c r="D1220" s="88"/>
      <c r="E1220" s="88"/>
      <c r="G1220" s="307">
        <v>9.7899999999999991</v>
      </c>
    </row>
    <row r="1221" spans="1:7" s="589" customFormat="1" ht="30" customHeight="1">
      <c r="A1221" s="170">
        <v>7247</v>
      </c>
      <c r="B1221" s="320" t="s">
        <v>2259</v>
      </c>
      <c r="C1221" s="307">
        <f t="shared" si="18"/>
        <v>2.0474999999999999</v>
      </c>
      <c r="D1221" s="88"/>
      <c r="E1221" s="88"/>
      <c r="G1221" s="307">
        <v>2.25</v>
      </c>
    </row>
    <row r="1222" spans="1:7" s="589" customFormat="1">
      <c r="A1222" s="170">
        <v>7252</v>
      </c>
      <c r="B1222" s="595" t="s">
        <v>2258</v>
      </c>
      <c r="C1222" s="307">
        <f t="shared" si="18"/>
        <v>1.1830000000000001</v>
      </c>
      <c r="D1222" s="88"/>
      <c r="E1222" s="88"/>
      <c r="G1222" s="307">
        <v>1.3</v>
      </c>
    </row>
    <row r="1223" spans="1:7" s="589" customFormat="1">
      <c r="A1223" s="170">
        <v>37623</v>
      </c>
      <c r="B1223" s="595" t="s">
        <v>2266</v>
      </c>
      <c r="C1223" s="307">
        <f t="shared" si="18"/>
        <v>7.0525000000000002</v>
      </c>
      <c r="D1223" s="88"/>
      <c r="E1223" s="88"/>
      <c r="G1223" s="307">
        <v>7.75</v>
      </c>
    </row>
    <row r="1224" spans="1:7" s="589" customFormat="1" ht="22.5">
      <c r="A1224" s="170">
        <v>6242</v>
      </c>
      <c r="B1224" s="595" t="s">
        <v>2268</v>
      </c>
      <c r="C1224" s="307">
        <f t="shared" si="18"/>
        <v>194.3032</v>
      </c>
      <c r="D1224" s="88"/>
      <c r="E1224" s="88"/>
      <c r="G1224" s="307">
        <v>213.52</v>
      </c>
    </row>
    <row r="1225" spans="1:7" s="589" customFormat="1" ht="22.5">
      <c r="A1225" s="170">
        <v>6243</v>
      </c>
      <c r="B1225" s="595" t="s">
        <v>2269</v>
      </c>
      <c r="C1225" s="307">
        <f t="shared" si="18"/>
        <v>86.340800000000002</v>
      </c>
      <c r="D1225" s="88"/>
      <c r="E1225" s="88"/>
      <c r="G1225" s="307">
        <v>94.88</v>
      </c>
    </row>
    <row r="1226" spans="1:7" s="589" customFormat="1" ht="22.5">
      <c r="A1226" s="170">
        <v>6250</v>
      </c>
      <c r="B1226" s="595" t="s">
        <v>2227</v>
      </c>
      <c r="C1226" s="307">
        <f t="shared" ref="C1226:C1230" si="19">G1226*0.91</f>
        <v>187.01409999999998</v>
      </c>
      <c r="D1226" s="88"/>
      <c r="E1226" s="88"/>
      <c r="G1226" s="307">
        <v>205.51</v>
      </c>
    </row>
    <row r="1227" spans="1:7" s="589" customFormat="1" ht="22.5">
      <c r="A1227" s="170">
        <v>5811</v>
      </c>
      <c r="B1227" s="595" t="s">
        <v>1474</v>
      </c>
      <c r="C1227" s="307">
        <f t="shared" si="19"/>
        <v>87.36</v>
      </c>
      <c r="D1227" s="88"/>
      <c r="E1227" s="88"/>
      <c r="G1227" s="307">
        <v>96</v>
      </c>
    </row>
    <row r="1228" spans="1:7" s="589" customFormat="1" ht="22.5">
      <c r="A1228" s="170">
        <v>4502</v>
      </c>
      <c r="B1228" s="595" t="s">
        <v>2276</v>
      </c>
      <c r="C1228" s="307">
        <f t="shared" si="19"/>
        <v>1.6016000000000001</v>
      </c>
      <c r="D1228" s="88"/>
      <c r="E1228" s="88"/>
      <c r="G1228" s="307">
        <v>1.76</v>
      </c>
    </row>
    <row r="1229" spans="1:7" s="589" customFormat="1" ht="22.5">
      <c r="A1229" s="170">
        <v>10531</v>
      </c>
      <c r="B1229" s="595" t="s">
        <v>2100</v>
      </c>
      <c r="C1229" s="307">
        <f t="shared" si="19"/>
        <v>4.7774999999999999</v>
      </c>
      <c r="D1229" s="88"/>
      <c r="E1229" s="88"/>
      <c r="G1229" s="307">
        <v>5.25</v>
      </c>
    </row>
    <row r="1230" spans="1:7" s="589" customFormat="1" ht="22.5">
      <c r="A1230" s="170">
        <v>4505</v>
      </c>
      <c r="B1230" s="595" t="s">
        <v>2279</v>
      </c>
      <c r="C1230" s="307">
        <f t="shared" si="19"/>
        <v>1.7927</v>
      </c>
      <c r="D1230" s="88"/>
      <c r="E1230" s="88"/>
      <c r="G1230" s="307">
        <v>1.97</v>
      </c>
    </row>
    <row r="1231" spans="1:7" ht="30" customHeight="1">
      <c r="A1231" s="170">
        <v>6115</v>
      </c>
      <c r="B1231" s="305">
        <v>1.5699999999999999E-2</v>
      </c>
      <c r="C1231" s="319" t="s">
        <v>112</v>
      </c>
      <c r="D1231" s="306" t="s">
        <v>509</v>
      </c>
      <c r="E1231" s="147">
        <f>G1231*0.91</f>
        <v>5.8298240000000003</v>
      </c>
      <c r="G1231" s="307">
        <f>C1110</f>
        <v>6.4064000000000005</v>
      </c>
    </row>
    <row r="1232" spans="1:7" ht="30" customHeight="1">
      <c r="A1232" s="170">
        <v>5811</v>
      </c>
      <c r="B1232" s="305">
        <v>2.8899999999999999E-2</v>
      </c>
      <c r="C1232" s="319" t="s">
        <v>542</v>
      </c>
      <c r="D1232" s="306" t="s">
        <v>1474</v>
      </c>
      <c r="E1232" s="147">
        <f t="shared" ref="E1232:E1240" si="20">G1232*0.91</f>
        <v>87.36</v>
      </c>
      <c r="G1232" s="147">
        <v>96</v>
      </c>
    </row>
    <row r="1233" spans="1:7" ht="30" customHeight="1">
      <c r="A1233" s="170">
        <v>5631</v>
      </c>
      <c r="B1233" s="305">
        <v>5.1999999999999998E-3</v>
      </c>
      <c r="C1233" s="319" t="s">
        <v>542</v>
      </c>
      <c r="D1233" s="306" t="s">
        <v>1475</v>
      </c>
      <c r="E1233" s="147">
        <f t="shared" si="20"/>
        <v>104.0312</v>
      </c>
      <c r="G1233" s="147">
        <v>114.32</v>
      </c>
    </row>
    <row r="1234" spans="1:7" ht="30" customHeight="1">
      <c r="A1234" s="170">
        <v>6079</v>
      </c>
      <c r="B1234" s="305">
        <v>1</v>
      </c>
      <c r="C1234" s="319" t="s">
        <v>97</v>
      </c>
      <c r="D1234" s="306" t="s">
        <v>1476</v>
      </c>
      <c r="E1234" s="147">
        <f t="shared" si="20"/>
        <v>4.2151199999999998</v>
      </c>
      <c r="G1234" s="147">
        <v>4.6319999999999997</v>
      </c>
    </row>
    <row r="1235" spans="1:7" ht="30" customHeight="1">
      <c r="A1235" s="170">
        <v>1147</v>
      </c>
      <c r="B1235" s="305">
        <v>0.01</v>
      </c>
      <c r="C1235" s="319" t="s">
        <v>112</v>
      </c>
      <c r="D1235" s="230" t="s">
        <v>1478</v>
      </c>
      <c r="E1235" s="147">
        <f t="shared" si="20"/>
        <v>38.001599999999996</v>
      </c>
      <c r="G1235" s="147">
        <v>41.76</v>
      </c>
    </row>
    <row r="1236" spans="1:7" ht="30" customHeight="1">
      <c r="A1236" s="170">
        <v>7642</v>
      </c>
      <c r="B1236" s="305">
        <v>0.01</v>
      </c>
      <c r="C1236" s="319" t="s">
        <v>112</v>
      </c>
      <c r="D1236" s="230" t="s">
        <v>1479</v>
      </c>
      <c r="E1236" s="147">
        <f t="shared" si="20"/>
        <v>29.483999999999998</v>
      </c>
      <c r="G1236" s="307">
        <v>32.4</v>
      </c>
    </row>
    <row r="1237" spans="1:7" ht="30" customHeight="1">
      <c r="A1237" s="170">
        <v>10798</v>
      </c>
      <c r="B1237" s="305">
        <v>1.0999999999999999E-2</v>
      </c>
      <c r="C1237" s="319" t="s">
        <v>112</v>
      </c>
      <c r="D1237" s="230" t="s">
        <v>1480</v>
      </c>
      <c r="E1237" s="147">
        <f t="shared" si="20"/>
        <v>12.712700000000002</v>
      </c>
      <c r="G1237" s="147">
        <v>13.97</v>
      </c>
    </row>
    <row r="1238" spans="1:7" ht="30" customHeight="1">
      <c r="A1238" s="170">
        <v>4091</v>
      </c>
      <c r="B1238" s="305">
        <v>5.0000000000000001E-3</v>
      </c>
      <c r="C1238" s="319" t="s">
        <v>112</v>
      </c>
      <c r="D1238" s="230" t="s">
        <v>1481</v>
      </c>
      <c r="E1238" s="147">
        <f t="shared" si="20"/>
        <v>106.47</v>
      </c>
      <c r="G1238" s="307">
        <v>117</v>
      </c>
    </row>
    <row r="1239" spans="1:7" ht="30" customHeight="1">
      <c r="A1239" s="170">
        <v>6059</v>
      </c>
      <c r="B1239" s="305">
        <v>5.0000000000000001E-3</v>
      </c>
      <c r="C1239" s="319" t="s">
        <v>112</v>
      </c>
      <c r="D1239" s="230" t="s">
        <v>1482</v>
      </c>
      <c r="E1239" s="147">
        <f t="shared" si="20"/>
        <v>63.1449</v>
      </c>
      <c r="G1239" s="147">
        <v>69.39</v>
      </c>
    </row>
    <row r="1240" spans="1:7" ht="30" customHeight="1">
      <c r="A1240" s="170">
        <v>6060</v>
      </c>
      <c r="B1240" s="305">
        <v>0.01</v>
      </c>
      <c r="C1240" s="319" t="s">
        <v>112</v>
      </c>
      <c r="D1240" s="230" t="s">
        <v>1483</v>
      </c>
      <c r="E1240" s="147">
        <f t="shared" si="20"/>
        <v>63.854700000000001</v>
      </c>
      <c r="G1240" s="147">
        <v>70.17</v>
      </c>
    </row>
    <row r="1241" spans="1:7" ht="30" customHeight="1">
      <c r="A1241" s="170">
        <v>6111</v>
      </c>
      <c r="B1241" s="305">
        <v>0.03</v>
      </c>
      <c r="C1241" s="319" t="s">
        <v>112</v>
      </c>
      <c r="D1241" s="230" t="s">
        <v>535</v>
      </c>
      <c r="E1241" s="147">
        <f>C1124</f>
        <v>6.4064000000000005</v>
      </c>
      <c r="G1241" s="307">
        <f>C1124</f>
        <v>6.4064000000000005</v>
      </c>
    </row>
    <row r="1242" spans="1:7" ht="30" customHeight="1">
      <c r="A1242" s="170">
        <v>6115</v>
      </c>
      <c r="B1242" s="305">
        <v>3.3999999999999998E-3</v>
      </c>
      <c r="C1242" s="319" t="s">
        <v>112</v>
      </c>
      <c r="D1242" s="230" t="s">
        <v>509</v>
      </c>
      <c r="E1242" s="147">
        <f>E1241</f>
        <v>6.4064000000000005</v>
      </c>
      <c r="G1242" s="147">
        <f>G1231</f>
        <v>6.4064000000000005</v>
      </c>
    </row>
    <row r="1243" spans="1:7" ht="30" customHeight="1">
      <c r="A1243" s="170">
        <v>6236</v>
      </c>
      <c r="B1243" s="305">
        <v>3.3999999999999998E-3</v>
      </c>
      <c r="C1243" s="319" t="s">
        <v>112</v>
      </c>
      <c r="D1243" s="230" t="s">
        <v>1484</v>
      </c>
      <c r="E1243" s="147">
        <f t="shared" ref="E1243:E1244" si="21">G1243*0.91</f>
        <v>297.68830000000003</v>
      </c>
      <c r="G1243" s="88">
        <v>327.13</v>
      </c>
    </row>
    <row r="1244" spans="1:7" ht="30" customHeight="1">
      <c r="A1244" s="316">
        <v>1</v>
      </c>
      <c r="B1244" s="317">
        <v>2667.13</v>
      </c>
      <c r="C1244" s="323" t="s">
        <v>13</v>
      </c>
      <c r="D1244" s="318" t="s">
        <v>1485</v>
      </c>
      <c r="E1244" s="147">
        <f t="shared" si="21"/>
        <v>4.6137000000000006</v>
      </c>
      <c r="G1244" s="619">
        <v>5.07</v>
      </c>
    </row>
    <row r="1245" spans="1:7">
      <c r="A1245" s="306">
        <v>843</v>
      </c>
      <c r="B1245" s="306" t="s">
        <v>1520</v>
      </c>
      <c r="C1245" s="324">
        <f>G1245*0.91</f>
        <v>2.0839000000000003</v>
      </c>
      <c r="G1245" s="324">
        <v>2.29</v>
      </c>
    </row>
    <row r="1246" spans="1:7">
      <c r="A1246" s="306">
        <v>845</v>
      </c>
      <c r="B1246" s="306" t="s">
        <v>1521</v>
      </c>
      <c r="C1246" s="324">
        <f t="shared" ref="C1246:C1261" si="22">G1246*0.91</f>
        <v>7.6075999999999997</v>
      </c>
      <c r="G1246" s="324">
        <v>8.36</v>
      </c>
    </row>
    <row r="1247" spans="1:7" ht="22.5">
      <c r="A1247" s="306">
        <v>995</v>
      </c>
      <c r="B1247" s="306" t="s">
        <v>1026</v>
      </c>
      <c r="C1247" s="324">
        <f t="shared" si="22"/>
        <v>6.4701000000000004</v>
      </c>
      <c r="G1247" s="324">
        <v>7.11</v>
      </c>
    </row>
    <row r="1248" spans="1:7" ht="22.5">
      <c r="A1248" s="306">
        <v>1019</v>
      </c>
      <c r="B1248" s="306" t="s">
        <v>1522</v>
      </c>
      <c r="C1248" s="324">
        <f t="shared" si="22"/>
        <v>13.1313</v>
      </c>
      <c r="G1248" s="324">
        <v>14.43</v>
      </c>
    </row>
    <row r="1249" spans="1:7" ht="22.5">
      <c r="A1249" s="306">
        <v>977</v>
      </c>
      <c r="B1249" s="306" t="s">
        <v>1523</v>
      </c>
      <c r="C1249" s="324">
        <f t="shared" si="22"/>
        <v>24.8703</v>
      </c>
      <c r="G1249" s="324">
        <v>27.33</v>
      </c>
    </row>
    <row r="1250" spans="1:7" ht="22.5">
      <c r="A1250" s="306">
        <v>1017</v>
      </c>
      <c r="B1250" s="306" t="s">
        <v>1524</v>
      </c>
      <c r="C1250" s="324">
        <f t="shared" si="22"/>
        <v>40.258400000000002</v>
      </c>
      <c r="G1250" s="324">
        <v>44.24</v>
      </c>
    </row>
    <row r="1251" spans="1:7">
      <c r="A1251" s="306">
        <v>11819</v>
      </c>
      <c r="B1251" s="306" t="s">
        <v>1525</v>
      </c>
      <c r="C1251" s="324">
        <f t="shared" si="22"/>
        <v>33.023899999999998</v>
      </c>
      <c r="G1251" s="324">
        <v>36.29</v>
      </c>
    </row>
    <row r="1252" spans="1:7">
      <c r="A1252" s="306">
        <v>11854</v>
      </c>
      <c r="B1252" s="306" t="s">
        <v>1526</v>
      </c>
      <c r="C1252" s="324">
        <f t="shared" si="22"/>
        <v>2.3022999999999998</v>
      </c>
      <c r="G1252" s="324">
        <v>2.5299999999999998</v>
      </c>
    </row>
    <row r="1253" spans="1:7">
      <c r="A1253" s="306">
        <v>1539</v>
      </c>
      <c r="B1253" s="306" t="s">
        <v>1527</v>
      </c>
      <c r="C1253" s="324">
        <f t="shared" si="22"/>
        <v>1.9018999999999999</v>
      </c>
      <c r="G1253" s="324">
        <v>2.09</v>
      </c>
    </row>
    <row r="1254" spans="1:7">
      <c r="A1254" s="306">
        <v>1876</v>
      </c>
      <c r="B1254" s="306" t="s">
        <v>1528</v>
      </c>
      <c r="C1254" s="324">
        <f t="shared" si="22"/>
        <v>6.8250000000000002</v>
      </c>
      <c r="G1254" s="324">
        <v>7.5</v>
      </c>
    </row>
    <row r="1255" spans="1:7">
      <c r="A1255" s="306">
        <v>1883</v>
      </c>
      <c r="B1255" s="306" t="s">
        <v>1529</v>
      </c>
      <c r="C1255" s="324">
        <f t="shared" si="22"/>
        <v>29.693300000000004</v>
      </c>
      <c r="G1255" s="324">
        <v>32.630000000000003</v>
      </c>
    </row>
    <row r="1256" spans="1:7">
      <c r="A1256" s="306">
        <v>2446</v>
      </c>
      <c r="B1256" s="306" t="s">
        <v>1530</v>
      </c>
      <c r="C1256" s="324">
        <f t="shared" si="22"/>
        <v>7.1434999999999995</v>
      </c>
      <c r="G1256" s="324">
        <v>7.85</v>
      </c>
    </row>
    <row r="1257" spans="1:7">
      <c r="A1257" s="306">
        <v>2600</v>
      </c>
      <c r="B1257" s="306" t="s">
        <v>1531</v>
      </c>
      <c r="C1257" s="324">
        <f t="shared" si="22"/>
        <v>20.311199999999999</v>
      </c>
      <c r="G1257" s="324">
        <v>22.32</v>
      </c>
    </row>
    <row r="1258" spans="1:7" ht="22.5">
      <c r="A1258" s="314">
        <v>12345</v>
      </c>
      <c r="B1258" s="314" t="s">
        <v>1532</v>
      </c>
      <c r="C1258" s="324">
        <f t="shared" si="22"/>
        <v>153.38050000000001</v>
      </c>
      <c r="G1258" s="616">
        <v>168.55</v>
      </c>
    </row>
    <row r="1259" spans="1:7">
      <c r="A1259" s="147">
        <v>253</v>
      </c>
      <c r="B1259" s="320" t="s">
        <v>1582</v>
      </c>
      <c r="C1259" s="324">
        <f t="shared" si="22"/>
        <v>12.74</v>
      </c>
      <c r="G1259" s="307">
        <v>14</v>
      </c>
    </row>
    <row r="1260" spans="1:7">
      <c r="A1260" s="161" t="s">
        <v>1994</v>
      </c>
      <c r="B1260" s="244" t="s">
        <v>1993</v>
      </c>
      <c r="C1260" s="324">
        <f t="shared" si="22"/>
        <v>8.3265000000000011</v>
      </c>
      <c r="G1260" s="307">
        <v>9.15</v>
      </c>
    </row>
    <row r="1261" spans="1:7">
      <c r="A1261" s="147">
        <v>25070</v>
      </c>
      <c r="B1261" s="244" t="s">
        <v>2015</v>
      </c>
      <c r="C1261" s="324">
        <f t="shared" si="22"/>
        <v>2.5935000000000001</v>
      </c>
      <c r="G1261" s="307">
        <v>2.85</v>
      </c>
    </row>
  </sheetData>
  <dataValidations disablePrompts="1" count="13">
    <dataValidation type="custom" errorStyle="warning" allowBlank="1" showInputMessage="1" showErrorMessage="1" errorTitle="erro" error="o insumo ja foi inserido" sqref="D62">
      <formula1>COUNTIF(A$1:A$1244,A1)=1</formula1>
    </dataValidation>
    <dataValidation type="custom" errorStyle="warning" allowBlank="1" showInputMessage="1" showErrorMessage="1" errorTitle="erro" error="o insumo ja foi inserido" sqref="A9:A481 A486:A1244">
      <formula1>COUNTIF(A$9:A$1244, A9) = 1</formula1>
    </dataValidation>
    <dataValidation type="custom" allowBlank="1" showInputMessage="1" showErrorMessage="1" errorTitle="Erro" error="Números repetidos" sqref="A1245:A1258">
      <formula1>COUNTIF(A$11:A$1925, A1245) = 1</formula1>
    </dataValidation>
    <dataValidation type="custom" errorStyle="warning" allowBlank="1" showInputMessage="1" showErrorMessage="1" errorTitle="erro" error="o insumo ja foi inserido" sqref="A1:A8 A1259:A1045649">
      <formula1>COUNTIF(A$9:A$1244,A9) = 1</formula1>
    </dataValidation>
    <dataValidation type="custom" errorStyle="warning" allowBlank="1" showInputMessage="1" showErrorMessage="1" errorTitle="erro" error="o insumo ja foi inserido" sqref="A1045650:A1048369">
      <formula1>COUNTIF(A$9:A$1244,A1) = 1</formula1>
    </dataValidation>
    <dataValidation type="custom" errorStyle="warning" allowBlank="1" showInputMessage="1" showErrorMessage="1" errorTitle="erro" error="o insumo ja foi inserido" sqref="A1048370:A1048397">
      <formula1>COUNTIF(A$9:A$1244,A2722) = 1</formula1>
    </dataValidation>
    <dataValidation type="custom" errorStyle="warning" allowBlank="1" showInputMessage="1" showErrorMessage="1" errorTitle="erro" error="o insumo ja foi inserido" sqref="A1048398:A1048425">
      <formula1>COUNTIF(A$9:A$1244,A2751) = 1</formula1>
    </dataValidation>
    <dataValidation type="custom" errorStyle="warning" allowBlank="1" showInputMessage="1" showErrorMessage="1" errorTitle="erro" error="o insumo ja foi inserido" sqref="A1048426:A1048453">
      <formula1>COUNTIF(A$9:A$1244,A2780) = 1</formula1>
    </dataValidation>
    <dataValidation type="custom" errorStyle="warning" allowBlank="1" showInputMessage="1" showErrorMessage="1" errorTitle="erro" error="o insumo ja foi inserido" sqref="A1048454:A1048481">
      <formula1>COUNTIF(A$9:A$1244,A2809) = 1</formula1>
    </dataValidation>
    <dataValidation type="custom" errorStyle="warning" allowBlank="1" showInputMessage="1" showErrorMessage="1" errorTitle="erro" error="o insumo ja foi inserido" sqref="A1048482:A1048509">
      <formula1>COUNTIF(A$9:A$1244,A2838) = 1</formula1>
    </dataValidation>
    <dataValidation type="custom" errorStyle="warning" allowBlank="1" showInputMessage="1" showErrorMessage="1" errorTitle="erro" error="o insumo ja foi inserido" sqref="A1048510:A1048537">
      <formula1>COUNTIF(A$9:A$1244,A2867) = 1</formula1>
    </dataValidation>
    <dataValidation type="custom" errorStyle="warning" allowBlank="1" showInputMessage="1" showErrorMessage="1" errorTitle="erro" error="o insumo ja foi inserido" sqref="A1048538:A1048565">
      <formula1>COUNTIF(A$9:A$1244,A2896) = 1</formula1>
    </dataValidation>
    <dataValidation type="custom" errorStyle="warning" allowBlank="1" showInputMessage="1" showErrorMessage="1" errorTitle="erro" error="o insumo ja foi inserido" sqref="A1048566:A1048576">
      <formula1>COUNTIF(A$9:A$1244,A2934) = 1</formula1>
    </dataValidation>
  </dataValidations>
  <pageMargins left="0.51181102362204722" right="0.51181102362204722" top="0.78740157480314965" bottom="0.78740157480314965" header="0.31496062992125984" footer="0.31496062992125984"/>
  <pageSetup paperSize="9" scale="6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F421"/>
  <sheetViews>
    <sheetView topLeftCell="A6" workbookViewId="0">
      <selection activeCell="D51" sqref="D51"/>
    </sheetView>
  </sheetViews>
  <sheetFormatPr defaultColWidth="9.140625" defaultRowHeight="11.25"/>
  <cols>
    <col min="1" max="1" width="6.7109375" style="135" bestFit="1" customWidth="1"/>
    <col min="2" max="2" width="45.140625" style="150" customWidth="1"/>
    <col min="3" max="3" width="6" style="151" bestFit="1" customWidth="1"/>
    <col min="4" max="4" width="12.5703125" style="503" bestFit="1" customWidth="1"/>
    <col min="5" max="5" width="49.42578125" style="152" customWidth="1"/>
    <col min="6" max="16384" width="9.140625" style="118"/>
  </cols>
  <sheetData>
    <row r="1" spans="1:6" s="126" customFormat="1" ht="12.75">
      <c r="A1" s="147"/>
      <c r="B1" s="127"/>
      <c r="C1" s="147"/>
      <c r="D1" s="494"/>
      <c r="E1" s="127"/>
    </row>
    <row r="2" spans="1:6" s="131" customFormat="1">
      <c r="A2" s="128"/>
      <c r="B2" s="129"/>
      <c r="C2" s="130"/>
      <c r="D2" s="497"/>
      <c r="E2" s="148"/>
    </row>
    <row r="3" spans="1:6" s="131" customFormat="1">
      <c r="A3" s="132"/>
      <c r="B3" s="133"/>
      <c r="C3" s="132"/>
      <c r="D3" s="497"/>
      <c r="E3" s="148"/>
    </row>
    <row r="4" spans="1:6" s="131" customFormat="1">
      <c r="A4" s="132"/>
      <c r="B4" s="133"/>
      <c r="C4" s="132"/>
      <c r="D4" s="495"/>
      <c r="E4" s="148"/>
    </row>
    <row r="5" spans="1:6" s="131" customFormat="1">
      <c r="A5" s="132"/>
      <c r="B5" s="132"/>
      <c r="C5" s="132"/>
      <c r="D5" s="495"/>
      <c r="E5" s="148"/>
    </row>
    <row r="7" spans="1:6" s="135" customFormat="1" ht="12">
      <c r="A7" s="153" t="s">
        <v>490</v>
      </c>
      <c r="B7" s="154" t="s">
        <v>491</v>
      </c>
      <c r="C7" s="153" t="s">
        <v>492</v>
      </c>
      <c r="D7" s="498" t="s">
        <v>195</v>
      </c>
      <c r="E7" s="155" t="s">
        <v>237</v>
      </c>
    </row>
    <row r="8" spans="1:6" s="135" customFormat="1">
      <c r="A8" s="111"/>
      <c r="B8" s="122" t="s">
        <v>107</v>
      </c>
      <c r="C8" s="113"/>
      <c r="D8" s="499"/>
      <c r="E8" s="115"/>
      <c r="F8" s="211"/>
    </row>
    <row r="9" spans="1:6" s="135" customFormat="1">
      <c r="A9" s="136" t="s">
        <v>1613</v>
      </c>
      <c r="B9" s="145" t="s">
        <v>2117</v>
      </c>
      <c r="C9" s="113"/>
      <c r="D9" s="499"/>
      <c r="E9" s="115"/>
    </row>
    <row r="10" spans="1:6" s="135" customFormat="1">
      <c r="A10" s="119" t="s">
        <v>1615</v>
      </c>
      <c r="B10" s="228" t="s">
        <v>529</v>
      </c>
      <c r="C10" s="111" t="s">
        <v>13</v>
      </c>
      <c r="D10" s="496">
        <v>11.75</v>
      </c>
      <c r="E10" s="40" t="s">
        <v>1362</v>
      </c>
    </row>
    <row r="11" spans="1:6" s="135" customFormat="1" ht="45">
      <c r="A11" s="119" t="s">
        <v>1616</v>
      </c>
      <c r="B11" s="228" t="s">
        <v>543</v>
      </c>
      <c r="C11" s="111" t="s">
        <v>13</v>
      </c>
      <c r="D11" s="496">
        <v>79</v>
      </c>
      <c r="E11" s="116" t="s">
        <v>1068</v>
      </c>
    </row>
    <row r="12" spans="1:6" s="135" customFormat="1">
      <c r="A12" s="119" t="s">
        <v>1617</v>
      </c>
      <c r="B12" s="228" t="s">
        <v>95</v>
      </c>
      <c r="C12" s="111" t="s">
        <v>14</v>
      </c>
      <c r="D12" s="496">
        <v>1</v>
      </c>
      <c r="E12" s="40"/>
    </row>
    <row r="13" spans="1:6" s="135" customFormat="1">
      <c r="A13" s="119" t="s">
        <v>1618</v>
      </c>
      <c r="B13" s="228" t="s">
        <v>2118</v>
      </c>
      <c r="C13" s="111" t="s">
        <v>14</v>
      </c>
      <c r="D13" s="496">
        <v>1</v>
      </c>
      <c r="E13" s="40"/>
    </row>
    <row r="14" spans="1:6" s="135" customFormat="1" ht="22.5">
      <c r="A14" s="119" t="s">
        <v>1619</v>
      </c>
      <c r="B14" s="228" t="s">
        <v>311</v>
      </c>
      <c r="C14" s="111" t="s">
        <v>13</v>
      </c>
      <c r="D14" s="496">
        <v>263.2</v>
      </c>
      <c r="E14" s="40" t="s">
        <v>312</v>
      </c>
    </row>
    <row r="15" spans="1:6" s="135" customFormat="1" ht="33.75">
      <c r="A15" s="119" t="s">
        <v>1620</v>
      </c>
      <c r="B15" s="228" t="s">
        <v>596</v>
      </c>
      <c r="C15" s="111" t="s">
        <v>13</v>
      </c>
      <c r="D15" s="496">
        <v>2667.13</v>
      </c>
      <c r="E15" s="40" t="s">
        <v>301</v>
      </c>
    </row>
    <row r="16" spans="1:6" s="211" customFormat="1">
      <c r="A16" s="119"/>
      <c r="B16" s="1"/>
      <c r="C16" s="226"/>
      <c r="D16" s="496"/>
      <c r="E16" s="116"/>
      <c r="F16" s="477"/>
    </row>
    <row r="17" spans="1:5" s="135" customFormat="1">
      <c r="A17" s="119"/>
      <c r="B17" s="1"/>
      <c r="C17" s="111"/>
      <c r="D17" s="496"/>
      <c r="E17" s="40"/>
    </row>
    <row r="18" spans="1:5">
      <c r="A18" s="137" t="s">
        <v>1583</v>
      </c>
      <c r="B18" s="122" t="s">
        <v>10</v>
      </c>
      <c r="C18" s="113"/>
      <c r="D18" s="496"/>
      <c r="E18" s="116"/>
    </row>
    <row r="19" spans="1:5">
      <c r="A19" s="120" t="s">
        <v>1584</v>
      </c>
      <c r="B19" s="1" t="s">
        <v>11</v>
      </c>
      <c r="C19" s="111" t="s">
        <v>1113</v>
      </c>
      <c r="D19" s="496">
        <v>6</v>
      </c>
      <c r="E19" s="40" t="s">
        <v>1114</v>
      </c>
    </row>
    <row r="20" spans="1:5">
      <c r="A20" s="120" t="s">
        <v>1586</v>
      </c>
      <c r="B20" s="1" t="s">
        <v>2017</v>
      </c>
      <c r="C20" s="226" t="s">
        <v>1113</v>
      </c>
      <c r="D20" s="496">
        <v>4</v>
      </c>
      <c r="E20" s="225" t="s">
        <v>2119</v>
      </c>
    </row>
    <row r="21" spans="1:5">
      <c r="A21" s="120" t="s">
        <v>1587</v>
      </c>
      <c r="B21" s="1" t="s">
        <v>12</v>
      </c>
      <c r="C21" s="111" t="s">
        <v>1113</v>
      </c>
      <c r="D21" s="496">
        <v>6</v>
      </c>
      <c r="E21" s="40" t="s">
        <v>1114</v>
      </c>
    </row>
    <row r="22" spans="1:5">
      <c r="A22" s="120" t="s">
        <v>1588</v>
      </c>
      <c r="B22" s="1" t="s">
        <v>488</v>
      </c>
      <c r="C22" s="111" t="s">
        <v>1113</v>
      </c>
      <c r="D22" s="496">
        <v>12</v>
      </c>
      <c r="E22" s="40" t="s">
        <v>1115</v>
      </c>
    </row>
    <row r="23" spans="1:5">
      <c r="A23" s="120" t="s">
        <v>1589</v>
      </c>
      <c r="B23" s="1" t="s">
        <v>1365</v>
      </c>
      <c r="C23" s="226" t="s">
        <v>1113</v>
      </c>
      <c r="D23" s="496">
        <v>6</v>
      </c>
      <c r="E23" s="225" t="s">
        <v>1114</v>
      </c>
    </row>
    <row r="24" spans="1:5">
      <c r="A24" s="120" t="s">
        <v>1590</v>
      </c>
      <c r="B24" s="1" t="s">
        <v>1582</v>
      </c>
      <c r="C24" s="226" t="s">
        <v>1113</v>
      </c>
      <c r="D24" s="496">
        <v>6</v>
      </c>
      <c r="E24" s="225" t="s">
        <v>1114</v>
      </c>
    </row>
    <row r="25" spans="1:5">
      <c r="A25" s="120" t="s">
        <v>1591</v>
      </c>
      <c r="B25" s="1" t="s">
        <v>1580</v>
      </c>
      <c r="C25" s="226" t="s">
        <v>14</v>
      </c>
      <c r="D25" s="496">
        <v>3960</v>
      </c>
      <c r="E25" s="225" t="s">
        <v>2120</v>
      </c>
    </row>
    <row r="26" spans="1:5">
      <c r="A26" s="120" t="s">
        <v>1592</v>
      </c>
      <c r="B26" s="1" t="s">
        <v>1572</v>
      </c>
      <c r="C26" s="226" t="s">
        <v>14</v>
      </c>
      <c r="D26" s="496">
        <v>40</v>
      </c>
      <c r="E26" s="225" t="s">
        <v>2121</v>
      </c>
    </row>
    <row r="27" spans="1:5">
      <c r="A27" s="120" t="s">
        <v>2016</v>
      </c>
      <c r="B27" s="1" t="s">
        <v>1950</v>
      </c>
      <c r="C27" s="226" t="s">
        <v>1113</v>
      </c>
      <c r="D27" s="496">
        <v>6</v>
      </c>
      <c r="E27" s="225" t="s">
        <v>1114</v>
      </c>
    </row>
    <row r="28" spans="1:5">
      <c r="A28" s="120"/>
      <c r="B28" s="1"/>
      <c r="C28" s="226"/>
      <c r="D28" s="496"/>
      <c r="E28" s="225"/>
    </row>
    <row r="29" spans="1:5">
      <c r="A29" s="120"/>
      <c r="B29" s="1"/>
      <c r="C29" s="226"/>
      <c r="D29" s="496"/>
      <c r="E29" s="225"/>
    </row>
    <row r="30" spans="1:5">
      <c r="A30" s="137" t="s">
        <v>1621</v>
      </c>
      <c r="B30" s="122" t="s">
        <v>1951</v>
      </c>
      <c r="C30" s="113"/>
      <c r="D30" s="496"/>
      <c r="E30" s="40"/>
    </row>
    <row r="31" spans="1:5">
      <c r="A31" s="120" t="s">
        <v>1622</v>
      </c>
      <c r="B31" s="1" t="s">
        <v>2122</v>
      </c>
      <c r="C31" s="226" t="s">
        <v>1113</v>
      </c>
      <c r="D31" s="496">
        <v>6</v>
      </c>
      <c r="E31" s="225" t="s">
        <v>1114</v>
      </c>
    </row>
    <row r="32" spans="1:5">
      <c r="A32" s="120" t="s">
        <v>1623</v>
      </c>
      <c r="B32" s="1" t="s">
        <v>9</v>
      </c>
      <c r="C32" s="111" t="s">
        <v>13</v>
      </c>
      <c r="D32" s="496">
        <v>2593.27</v>
      </c>
      <c r="E32" s="40" t="s">
        <v>1117</v>
      </c>
    </row>
    <row r="33" spans="1:5">
      <c r="A33" s="120"/>
      <c r="B33" s="1"/>
      <c r="C33" s="226"/>
      <c r="D33" s="496"/>
      <c r="E33" s="225"/>
    </row>
    <row r="34" spans="1:5">
      <c r="A34" s="120"/>
      <c r="B34" s="1"/>
      <c r="C34" s="226"/>
      <c r="D34" s="496"/>
      <c r="E34" s="225"/>
    </row>
    <row r="35" spans="1:5">
      <c r="A35" s="137" t="s">
        <v>1624</v>
      </c>
      <c r="B35" s="122" t="s">
        <v>1626</v>
      </c>
      <c r="C35" s="113"/>
      <c r="D35" s="496"/>
      <c r="E35" s="225"/>
    </row>
    <row r="36" spans="1:5" ht="22.5">
      <c r="A36" s="120" t="s">
        <v>1625</v>
      </c>
      <c r="B36" s="1" t="s">
        <v>2123</v>
      </c>
      <c r="C36" s="226" t="s">
        <v>115</v>
      </c>
      <c r="D36" s="496">
        <f>TRANSPORTE!B14</f>
        <v>66.97999999999999</v>
      </c>
      <c r="E36" s="225" t="s">
        <v>2126</v>
      </c>
    </row>
    <row r="37" spans="1:5">
      <c r="A37" s="120" t="s">
        <v>1627</v>
      </c>
      <c r="B37" s="1" t="s">
        <v>2124</v>
      </c>
      <c r="C37" s="226" t="s">
        <v>115</v>
      </c>
      <c r="D37" s="496">
        <f>TRANSPORTE!B47</f>
        <v>617.33601806579986</v>
      </c>
      <c r="E37" s="225" t="s">
        <v>2126</v>
      </c>
    </row>
    <row r="38" spans="1:5">
      <c r="A38" s="120" t="s">
        <v>1628</v>
      </c>
      <c r="B38" s="1" t="s">
        <v>2125</v>
      </c>
      <c r="C38" s="226" t="s">
        <v>1991</v>
      </c>
      <c r="D38" s="496">
        <f>D37*2</f>
        <v>1234.6720361315997</v>
      </c>
      <c r="E38" s="225" t="s">
        <v>2127</v>
      </c>
    </row>
    <row r="39" spans="1:5">
      <c r="A39" s="120"/>
      <c r="B39" s="1"/>
      <c r="C39" s="226"/>
      <c r="D39" s="496"/>
      <c r="E39" s="225"/>
    </row>
    <row r="40" spans="1:5">
      <c r="A40" s="120"/>
      <c r="B40" s="1"/>
      <c r="C40" s="226"/>
      <c r="D40" s="496"/>
      <c r="E40" s="225"/>
    </row>
    <row r="41" spans="1:5" s="211" customFormat="1">
      <c r="A41" s="136" t="s">
        <v>1629</v>
      </c>
      <c r="B41" s="473" t="s">
        <v>1467</v>
      </c>
      <c r="C41" s="113"/>
      <c r="D41" s="499"/>
      <c r="E41" s="115"/>
    </row>
    <row r="42" spans="1:5" s="211" customFormat="1">
      <c r="A42" s="119" t="s">
        <v>1630</v>
      </c>
      <c r="B42" s="228" t="s">
        <v>2220</v>
      </c>
      <c r="C42" s="226" t="s">
        <v>96</v>
      </c>
      <c r="D42" s="496">
        <f>'MOV. TERRA'!F23</f>
        <v>1898.1501000000001</v>
      </c>
      <c r="E42" s="225" t="s">
        <v>2223</v>
      </c>
    </row>
    <row r="43" spans="1:5" s="211" customFormat="1" ht="11.45" customHeight="1">
      <c r="A43" s="119" t="s">
        <v>1631</v>
      </c>
      <c r="B43" s="1" t="s">
        <v>2221</v>
      </c>
      <c r="C43" s="226" t="s">
        <v>2224</v>
      </c>
      <c r="D43" s="496">
        <f>'MOV. TERRA'!F28*10</f>
        <v>36371.01</v>
      </c>
      <c r="E43" s="225" t="s">
        <v>2228</v>
      </c>
    </row>
    <row r="44" spans="1:5" s="211" customFormat="1">
      <c r="A44" s="119" t="s">
        <v>1632</v>
      </c>
      <c r="B44" s="1" t="s">
        <v>2222</v>
      </c>
      <c r="C44" s="226" t="s">
        <v>96</v>
      </c>
      <c r="D44" s="496">
        <f>'MOV. TERRA'!F24</f>
        <v>1011.5307</v>
      </c>
      <c r="E44" s="225" t="s">
        <v>2223</v>
      </c>
    </row>
    <row r="45" spans="1:5" s="211" customFormat="1" ht="22.5">
      <c r="A45" s="119" t="s">
        <v>1633</v>
      </c>
      <c r="B45" s="228" t="s">
        <v>2128</v>
      </c>
      <c r="C45" s="117" t="s">
        <v>96</v>
      </c>
      <c r="D45" s="500">
        <f>D44</f>
        <v>1011.5307</v>
      </c>
      <c r="E45" s="225" t="s">
        <v>2223</v>
      </c>
    </row>
    <row r="46" spans="1:5" s="211" customFormat="1">
      <c r="A46" s="119"/>
      <c r="B46" s="228"/>
      <c r="C46" s="226"/>
      <c r="D46" s="496"/>
      <c r="E46" s="225"/>
    </row>
    <row r="47" spans="1:5" s="211" customFormat="1">
      <c r="A47" s="119"/>
      <c r="B47" s="228"/>
      <c r="C47" s="226"/>
      <c r="D47" s="496"/>
      <c r="E47" s="225"/>
    </row>
    <row r="48" spans="1:5" s="135" customFormat="1">
      <c r="A48" s="136" t="s">
        <v>1595</v>
      </c>
      <c r="B48" s="176" t="s">
        <v>1954</v>
      </c>
      <c r="C48" s="113"/>
      <c r="D48" s="499"/>
      <c r="E48" s="115"/>
    </row>
    <row r="49" spans="1:5" s="135" customFormat="1">
      <c r="A49" s="119" t="s">
        <v>1596</v>
      </c>
      <c r="B49" s="112" t="s">
        <v>2243</v>
      </c>
      <c r="C49" s="111" t="s">
        <v>15</v>
      </c>
      <c r="D49" s="496">
        <f>FUNDAÇAO!J5</f>
        <v>90</v>
      </c>
      <c r="E49" s="40" t="s">
        <v>2131</v>
      </c>
    </row>
    <row r="50" spans="1:5" s="594" customFormat="1">
      <c r="A50" s="593" t="s">
        <v>1597</v>
      </c>
      <c r="B50" s="592" t="s">
        <v>2244</v>
      </c>
      <c r="C50" s="591" t="s">
        <v>15</v>
      </c>
      <c r="D50" s="609">
        <f>FUNDAÇAO!J7+FUNDAÇAO!J9+FUNDAÇAO!J11+FUNDAÇAO!J13</f>
        <v>3019</v>
      </c>
      <c r="E50" s="590" t="s">
        <v>2131</v>
      </c>
    </row>
    <row r="51" spans="1:5" s="135" customFormat="1">
      <c r="A51" s="119" t="s">
        <v>1598</v>
      </c>
      <c r="B51" s="1" t="s">
        <v>2129</v>
      </c>
      <c r="C51" s="111" t="s">
        <v>96</v>
      </c>
      <c r="D51" s="496">
        <f>FUNDAÇAO!X39</f>
        <v>307.52519999999998</v>
      </c>
      <c r="E51" s="225" t="s">
        <v>2131</v>
      </c>
    </row>
    <row r="52" spans="1:5" s="135" customFormat="1">
      <c r="A52" s="119" t="s">
        <v>1599</v>
      </c>
      <c r="B52" s="1" t="s">
        <v>1363</v>
      </c>
      <c r="C52" s="111" t="s">
        <v>96</v>
      </c>
      <c r="D52" s="496">
        <f>FUNDAÇAO!AA39</f>
        <v>70.41659999999996</v>
      </c>
      <c r="E52" s="225" t="s">
        <v>2131</v>
      </c>
    </row>
    <row r="53" spans="1:5" s="135" customFormat="1">
      <c r="A53" s="119" t="s">
        <v>1600</v>
      </c>
      <c r="B53" s="112" t="s">
        <v>609</v>
      </c>
      <c r="C53" s="117" t="s">
        <v>104</v>
      </c>
      <c r="D53" s="500">
        <f>FUNDAÇAO!G39</f>
        <v>429.75200000000007</v>
      </c>
      <c r="E53" s="225" t="s">
        <v>2131</v>
      </c>
    </row>
    <row r="54" spans="1:5" s="135" customFormat="1">
      <c r="A54" s="119" t="s">
        <v>1601</v>
      </c>
      <c r="B54" s="112" t="s">
        <v>99</v>
      </c>
      <c r="C54" s="111" t="s">
        <v>16</v>
      </c>
      <c r="D54" s="496">
        <f>FUNDAÇAO!H40</f>
        <v>1874.2466820000002</v>
      </c>
      <c r="E54" s="225" t="s">
        <v>2131</v>
      </c>
    </row>
    <row r="55" spans="1:5" s="135" customFormat="1">
      <c r="A55" s="119" t="s">
        <v>1955</v>
      </c>
      <c r="B55" s="112" t="s">
        <v>319</v>
      </c>
      <c r="C55" s="111" t="s">
        <v>16</v>
      </c>
      <c r="D55" s="496">
        <f>FUNDAÇAO!K5+FUNDAÇAO!K7+FUNDAÇAO!K9+FUNDAÇAO!K11+FUNDAÇAO!K13</f>
        <v>6833.0512249999992</v>
      </c>
      <c r="E55" s="225" t="s">
        <v>2131</v>
      </c>
    </row>
    <row r="56" spans="1:5" s="135" customFormat="1">
      <c r="A56" s="119" t="s">
        <v>1956</v>
      </c>
      <c r="B56" s="112" t="s">
        <v>100</v>
      </c>
      <c r="C56" s="111" t="s">
        <v>16</v>
      </c>
      <c r="D56" s="496">
        <f>FUNDAÇAO!K10+FUNDAÇAO!J40</f>
        <v>4502.6018400000003</v>
      </c>
      <c r="E56" s="225" t="s">
        <v>2131</v>
      </c>
    </row>
    <row r="57" spans="1:5" s="135" customFormat="1">
      <c r="A57" s="119" t="s">
        <v>1602</v>
      </c>
      <c r="B57" s="112" t="s">
        <v>101</v>
      </c>
      <c r="C57" s="111" t="s">
        <v>16</v>
      </c>
      <c r="D57" s="496">
        <f>FUNDAÇAO!K6+FUNDAÇAO!K8+FUNDAÇAO!K12+FUNDAÇAO!K14+FUNDAÇAO!K40</f>
        <v>4253.336956000001</v>
      </c>
      <c r="E57" s="225" t="s">
        <v>2131</v>
      </c>
    </row>
    <row r="58" spans="1:5" s="211" customFormat="1">
      <c r="A58" s="119" t="s">
        <v>1603</v>
      </c>
      <c r="B58" s="228" t="s">
        <v>2130</v>
      </c>
      <c r="C58" s="226" t="s">
        <v>96</v>
      </c>
      <c r="D58" s="496">
        <f>FUNDAÇAO!Z39</f>
        <v>18.009599999999999</v>
      </c>
      <c r="E58" s="225" t="s">
        <v>2131</v>
      </c>
    </row>
    <row r="59" spans="1:5" s="135" customFormat="1" ht="22.5">
      <c r="A59" s="119" t="s">
        <v>2248</v>
      </c>
      <c r="B59" s="112" t="s">
        <v>498</v>
      </c>
      <c r="C59" s="111" t="s">
        <v>96</v>
      </c>
      <c r="D59" s="496">
        <f>FUNDAÇAO!F39</f>
        <v>219.09900000000002</v>
      </c>
      <c r="E59" s="225" t="s">
        <v>2131</v>
      </c>
    </row>
    <row r="60" spans="1:5" s="135" customFormat="1">
      <c r="A60" s="119" t="s">
        <v>2247</v>
      </c>
      <c r="B60" s="112" t="s">
        <v>103</v>
      </c>
      <c r="C60" s="111" t="s">
        <v>96</v>
      </c>
      <c r="D60" s="496">
        <f>D59</f>
        <v>219.09900000000002</v>
      </c>
      <c r="E60" s="225" t="s">
        <v>2131</v>
      </c>
    </row>
    <row r="61" spans="1:5" s="211" customFormat="1">
      <c r="A61" s="119"/>
      <c r="B61" s="228"/>
      <c r="C61" s="226"/>
      <c r="D61" s="496"/>
      <c r="E61" s="225"/>
    </row>
    <row r="62" spans="1:5" s="135" customFormat="1">
      <c r="A62" s="111"/>
      <c r="B62" s="112"/>
      <c r="C62" s="117"/>
      <c r="D62" s="500"/>
      <c r="E62" s="116"/>
    </row>
    <row r="63" spans="1:5" s="135" customFormat="1" ht="22.5">
      <c r="A63" s="136" t="s">
        <v>1634</v>
      </c>
      <c r="B63" s="145" t="s">
        <v>520</v>
      </c>
      <c r="C63" s="113"/>
      <c r="D63" s="499"/>
      <c r="E63" s="115"/>
    </row>
    <row r="64" spans="1:5" s="135" customFormat="1">
      <c r="A64" s="111" t="s">
        <v>1635</v>
      </c>
      <c r="B64" s="1" t="s">
        <v>2129</v>
      </c>
      <c r="C64" s="111" t="s">
        <v>96</v>
      </c>
      <c r="D64" s="496">
        <f>ESCAVAÇÃO!G64</f>
        <v>119.42684999999992</v>
      </c>
      <c r="E64" s="40" t="s">
        <v>503</v>
      </c>
    </row>
    <row r="65" spans="1:5" s="135" customFormat="1">
      <c r="A65" s="111" t="s">
        <v>1636</v>
      </c>
      <c r="B65" s="1" t="s">
        <v>1363</v>
      </c>
      <c r="C65" s="111" t="s">
        <v>96</v>
      </c>
      <c r="D65" s="496">
        <f>ESCAVAÇÃO!I64</f>
        <v>81.605699999999985</v>
      </c>
      <c r="E65" s="225" t="s">
        <v>503</v>
      </c>
    </row>
    <row r="66" spans="1:5" s="135" customFormat="1" ht="22.5">
      <c r="A66" s="111" t="s">
        <v>1637</v>
      </c>
      <c r="B66" s="228" t="s">
        <v>396</v>
      </c>
      <c r="C66" s="117" t="s">
        <v>104</v>
      </c>
      <c r="D66" s="500">
        <v>702.37</v>
      </c>
      <c r="E66" s="40" t="s">
        <v>271</v>
      </c>
    </row>
    <row r="67" spans="1:5" s="135" customFormat="1">
      <c r="A67" s="111" t="s">
        <v>1638</v>
      </c>
      <c r="B67" s="228" t="s">
        <v>393</v>
      </c>
      <c r="C67" s="111" t="s">
        <v>16</v>
      </c>
      <c r="D67" s="500">
        <f>ESTRUTURA!B19</f>
        <v>814.60779400000013</v>
      </c>
      <c r="E67" s="40" t="s">
        <v>2134</v>
      </c>
    </row>
    <row r="68" spans="1:5" s="135" customFormat="1">
      <c r="A68" s="111" t="s">
        <v>1959</v>
      </c>
      <c r="B68" s="228" t="s">
        <v>99</v>
      </c>
      <c r="C68" s="111" t="s">
        <v>16</v>
      </c>
      <c r="D68" s="496">
        <f>ESTRUTURA!C19</f>
        <v>870.35687200000007</v>
      </c>
      <c r="E68" s="225" t="s">
        <v>2134</v>
      </c>
    </row>
    <row r="69" spans="1:5" s="135" customFormat="1">
      <c r="A69" s="111" t="s">
        <v>1639</v>
      </c>
      <c r="B69" s="228" t="s">
        <v>319</v>
      </c>
      <c r="C69" s="111" t="s">
        <v>16</v>
      </c>
      <c r="D69" s="496">
        <f>ESTRUTURA!D19</f>
        <v>3669.3422150000006</v>
      </c>
      <c r="E69" s="225" t="s">
        <v>2134</v>
      </c>
    </row>
    <row r="70" spans="1:5" s="135" customFormat="1">
      <c r="A70" s="111" t="s">
        <v>1960</v>
      </c>
      <c r="B70" s="228" t="s">
        <v>100</v>
      </c>
      <c r="C70" s="111" t="s">
        <v>16</v>
      </c>
      <c r="D70" s="496">
        <f>ESTRUTURA!E19</f>
        <v>4303.9310599999999</v>
      </c>
      <c r="E70" s="225" t="s">
        <v>2134</v>
      </c>
    </row>
    <row r="71" spans="1:5" s="135" customFormat="1">
      <c r="A71" s="111" t="s">
        <v>1961</v>
      </c>
      <c r="B71" s="228" t="s">
        <v>101</v>
      </c>
      <c r="C71" s="111" t="s">
        <v>16</v>
      </c>
      <c r="D71" s="496">
        <f>ESTRUTURA!F19</f>
        <v>5405.3704099999995</v>
      </c>
      <c r="E71" s="225" t="s">
        <v>2134</v>
      </c>
    </row>
    <row r="72" spans="1:5" s="135" customFormat="1">
      <c r="A72" s="111" t="s">
        <v>1962</v>
      </c>
      <c r="B72" s="228" t="s">
        <v>102</v>
      </c>
      <c r="C72" s="111" t="s">
        <v>16</v>
      </c>
      <c r="D72" s="496">
        <f>ESTRUTURA!G19</f>
        <v>5678.9496719999997</v>
      </c>
      <c r="E72" s="225" t="s">
        <v>2134</v>
      </c>
    </row>
    <row r="73" spans="1:5" s="135" customFormat="1">
      <c r="A73" s="111" t="s">
        <v>1640</v>
      </c>
      <c r="B73" s="228" t="s">
        <v>392</v>
      </c>
      <c r="C73" s="111" t="s">
        <v>16</v>
      </c>
      <c r="D73" s="496">
        <f>ESTRUTURA!H19</f>
        <v>751.68819000000019</v>
      </c>
      <c r="E73" s="225" t="s">
        <v>2134</v>
      </c>
    </row>
    <row r="74" spans="1:5" s="135" customFormat="1">
      <c r="A74" s="111" t="s">
        <v>1963</v>
      </c>
      <c r="B74" s="228" t="s">
        <v>391</v>
      </c>
      <c r="C74" s="111" t="s">
        <v>16</v>
      </c>
      <c r="D74" s="496">
        <f>ESTRUTURA!I19</f>
        <v>54.252000000000002</v>
      </c>
      <c r="E74" s="225" t="s">
        <v>2134</v>
      </c>
    </row>
    <row r="75" spans="1:5" s="135" customFormat="1">
      <c r="A75" s="226" t="s">
        <v>1964</v>
      </c>
      <c r="B75" s="228" t="s">
        <v>1329</v>
      </c>
      <c r="C75" s="226" t="s">
        <v>16</v>
      </c>
      <c r="D75" s="496">
        <f>ESTRUTURA!J19</f>
        <v>77.815188000000006</v>
      </c>
      <c r="E75" s="225" t="s">
        <v>2134</v>
      </c>
    </row>
    <row r="76" spans="1:5" s="135" customFormat="1" ht="22.5">
      <c r="A76" s="111" t="s">
        <v>1641</v>
      </c>
      <c r="B76" s="228" t="s">
        <v>499</v>
      </c>
      <c r="C76" s="117" t="s">
        <v>96</v>
      </c>
      <c r="D76" s="500">
        <v>245.4</v>
      </c>
      <c r="E76" s="40" t="s">
        <v>271</v>
      </c>
    </row>
    <row r="77" spans="1:5" s="135" customFormat="1" ht="22.5">
      <c r="A77" s="111" t="s">
        <v>1642</v>
      </c>
      <c r="B77" s="228" t="s">
        <v>522</v>
      </c>
      <c r="C77" s="117" t="s">
        <v>96</v>
      </c>
      <c r="D77" s="500">
        <f>D76</f>
        <v>245.4</v>
      </c>
      <c r="E77" s="40" t="s">
        <v>271</v>
      </c>
    </row>
    <row r="78" spans="1:5" s="211" customFormat="1">
      <c r="A78" s="226"/>
      <c r="B78" s="1"/>
      <c r="C78" s="226"/>
      <c r="D78" s="496"/>
      <c r="E78" s="225"/>
    </row>
    <row r="79" spans="1:5" s="135" customFormat="1">
      <c r="A79" s="113"/>
      <c r="B79" s="122"/>
      <c r="C79" s="113"/>
      <c r="D79" s="499"/>
      <c r="E79" s="115"/>
    </row>
    <row r="80" spans="1:5">
      <c r="A80" s="137" t="s">
        <v>1643</v>
      </c>
      <c r="B80" s="122" t="s">
        <v>20</v>
      </c>
      <c r="C80" s="113"/>
      <c r="D80" s="496"/>
      <c r="E80" s="116"/>
    </row>
    <row r="81" spans="1:5">
      <c r="A81" s="111" t="s">
        <v>1644</v>
      </c>
      <c r="B81" s="1" t="s">
        <v>267</v>
      </c>
      <c r="C81" s="111" t="s">
        <v>16</v>
      </c>
      <c r="D81" s="496">
        <v>22205</v>
      </c>
      <c r="E81" s="225" t="s">
        <v>271</v>
      </c>
    </row>
    <row r="82" spans="1:5" ht="22.5">
      <c r="A82" s="111" t="s">
        <v>1645</v>
      </c>
      <c r="B82" s="1" t="s">
        <v>1427</v>
      </c>
      <c r="C82" s="111" t="s">
        <v>13</v>
      </c>
      <c r="D82" s="496">
        <v>2464.0300000000002</v>
      </c>
      <c r="E82" s="116" t="s">
        <v>1386</v>
      </c>
    </row>
    <row r="83" spans="1:5" ht="22.5">
      <c r="A83" s="111" t="s">
        <v>1646</v>
      </c>
      <c r="B83" s="1" t="s">
        <v>667</v>
      </c>
      <c r="C83" s="111" t="s">
        <v>15</v>
      </c>
      <c r="D83" s="496">
        <v>101.8</v>
      </c>
      <c r="E83" s="225" t="s">
        <v>271</v>
      </c>
    </row>
    <row r="84" spans="1:5" ht="22.5">
      <c r="A84" s="111" t="s">
        <v>1647</v>
      </c>
      <c r="B84" s="1" t="s">
        <v>669</v>
      </c>
      <c r="C84" s="111" t="s">
        <v>15</v>
      </c>
      <c r="D84" s="496">
        <v>45.48</v>
      </c>
      <c r="E84" s="225" t="s">
        <v>271</v>
      </c>
    </row>
    <row r="85" spans="1:5">
      <c r="A85" s="226" t="s">
        <v>1648</v>
      </c>
      <c r="B85" s="1" t="s">
        <v>1455</v>
      </c>
      <c r="C85" s="226" t="s">
        <v>13</v>
      </c>
      <c r="D85" s="496">
        <v>97.6</v>
      </c>
      <c r="E85" s="225" t="s">
        <v>271</v>
      </c>
    </row>
    <row r="86" spans="1:5">
      <c r="A86" s="119"/>
      <c r="B86" s="112"/>
      <c r="C86" s="111"/>
      <c r="D86" s="496"/>
      <c r="E86" s="40"/>
    </row>
    <row r="87" spans="1:5">
      <c r="A87" s="120"/>
      <c r="B87" s="112"/>
      <c r="C87" s="111"/>
      <c r="D87" s="496"/>
      <c r="E87" s="40"/>
    </row>
    <row r="88" spans="1:5">
      <c r="A88" s="137" t="s">
        <v>1649</v>
      </c>
      <c r="B88" s="122" t="s">
        <v>21</v>
      </c>
      <c r="C88" s="113"/>
      <c r="D88" s="501"/>
      <c r="E88" s="40"/>
    </row>
    <row r="89" spans="1:5" ht="33.75">
      <c r="A89" s="120" t="s">
        <v>1650</v>
      </c>
      <c r="B89" s="1" t="s">
        <v>1401</v>
      </c>
      <c r="C89" s="111" t="s">
        <v>13</v>
      </c>
      <c r="D89" s="496">
        <v>13.4</v>
      </c>
      <c r="E89" s="40" t="s">
        <v>256</v>
      </c>
    </row>
    <row r="90" spans="1:5">
      <c r="A90" s="120" t="s">
        <v>1651</v>
      </c>
      <c r="B90" s="1" t="s">
        <v>676</v>
      </c>
      <c r="C90" s="111" t="s">
        <v>13</v>
      </c>
      <c r="D90" s="496">
        <v>13.4</v>
      </c>
      <c r="E90" s="40" t="s">
        <v>256</v>
      </c>
    </row>
    <row r="91" spans="1:5" ht="22.5">
      <c r="A91" s="120" t="s">
        <v>1652</v>
      </c>
      <c r="B91" s="1" t="s">
        <v>1402</v>
      </c>
      <c r="C91" s="111" t="s">
        <v>13</v>
      </c>
      <c r="D91" s="496">
        <v>13.4</v>
      </c>
      <c r="E91" s="40" t="s">
        <v>256</v>
      </c>
    </row>
    <row r="92" spans="1:5" ht="22.5">
      <c r="A92" s="120" t="s">
        <v>1653</v>
      </c>
      <c r="B92" s="228" t="s">
        <v>1403</v>
      </c>
      <c r="C92" s="111" t="s">
        <v>13</v>
      </c>
      <c r="D92" s="496">
        <v>391.1</v>
      </c>
      <c r="E92" s="40" t="s">
        <v>505</v>
      </c>
    </row>
    <row r="93" spans="1:5" ht="22.5">
      <c r="A93" s="120" t="s">
        <v>1654</v>
      </c>
      <c r="B93" s="228" t="s">
        <v>1258</v>
      </c>
      <c r="C93" s="111" t="s">
        <v>13</v>
      </c>
      <c r="D93" s="496">
        <f>D124</f>
        <v>1056</v>
      </c>
      <c r="E93" s="40" t="s">
        <v>1260</v>
      </c>
    </row>
    <row r="94" spans="1:5">
      <c r="A94" s="120"/>
      <c r="B94" s="112"/>
      <c r="C94" s="111"/>
      <c r="D94" s="496"/>
      <c r="E94" s="40"/>
    </row>
    <row r="95" spans="1:5">
      <c r="A95" s="120"/>
      <c r="B95" s="112"/>
      <c r="C95" s="111"/>
      <c r="D95" s="501"/>
      <c r="E95" s="40"/>
    </row>
    <row r="96" spans="1:5">
      <c r="A96" s="113" t="s">
        <v>1655</v>
      </c>
      <c r="B96" s="122" t="s">
        <v>17</v>
      </c>
      <c r="C96" s="113"/>
      <c r="D96" s="496"/>
      <c r="E96" s="40"/>
    </row>
    <row r="97" spans="1:5">
      <c r="A97" s="119" t="s">
        <v>1656</v>
      </c>
      <c r="B97" s="1" t="s">
        <v>523</v>
      </c>
      <c r="C97" s="111" t="s">
        <v>13</v>
      </c>
      <c r="D97" s="496">
        <f>ALVENARIA!J51+ALVENARIA!J68</f>
        <v>1503.8683999999998</v>
      </c>
      <c r="E97" s="40" t="s">
        <v>238</v>
      </c>
    </row>
    <row r="98" spans="1:5" ht="33.75">
      <c r="A98" s="119" t="s">
        <v>1657</v>
      </c>
      <c r="B98" s="1" t="s">
        <v>1116</v>
      </c>
      <c r="C98" s="111" t="s">
        <v>13</v>
      </c>
      <c r="D98" s="496">
        <f>ALVENARIA!Q44</f>
        <v>127.4042</v>
      </c>
      <c r="E98" s="225" t="s">
        <v>238</v>
      </c>
    </row>
    <row r="99" spans="1:5" ht="22.5">
      <c r="A99" s="119" t="s">
        <v>1658</v>
      </c>
      <c r="B99" s="1" t="s">
        <v>1392</v>
      </c>
      <c r="C99" s="117" t="s">
        <v>13</v>
      </c>
      <c r="D99" s="500">
        <f>ALVENARIA!R6</f>
        <v>54.225000000000001</v>
      </c>
      <c r="E99" s="225" t="s">
        <v>238</v>
      </c>
    </row>
    <row r="100" spans="1:5" ht="22.5">
      <c r="A100" s="119" t="s">
        <v>1659</v>
      </c>
      <c r="B100" s="1" t="s">
        <v>1393</v>
      </c>
      <c r="C100" s="111" t="s">
        <v>13</v>
      </c>
      <c r="D100" s="496">
        <f>ALVENARIA!Q30</f>
        <v>81.954000000000008</v>
      </c>
      <c r="E100" s="225" t="s">
        <v>238</v>
      </c>
    </row>
    <row r="101" spans="1:5">
      <c r="A101" s="119"/>
      <c r="B101" s="228"/>
      <c r="C101" s="111"/>
      <c r="D101" s="499"/>
      <c r="E101" s="40"/>
    </row>
    <row r="102" spans="1:5">
      <c r="A102" s="119"/>
      <c r="B102" s="1"/>
      <c r="C102" s="111"/>
      <c r="D102" s="496"/>
      <c r="E102" s="115"/>
    </row>
    <row r="103" spans="1:5">
      <c r="A103" s="137" t="s">
        <v>1660</v>
      </c>
      <c r="B103" s="122" t="s">
        <v>22</v>
      </c>
      <c r="C103" s="113"/>
      <c r="D103" s="500"/>
      <c r="E103" s="40"/>
    </row>
    <row r="104" spans="1:5" ht="22.5">
      <c r="A104" s="120" t="s">
        <v>1660</v>
      </c>
      <c r="B104" s="1" t="s">
        <v>1404</v>
      </c>
      <c r="C104" s="111" t="s">
        <v>13</v>
      </c>
      <c r="D104" s="496">
        <f>D97*2</f>
        <v>3007.7367999999997</v>
      </c>
      <c r="E104" s="40" t="s">
        <v>1234</v>
      </c>
    </row>
    <row r="105" spans="1:5" ht="22.5">
      <c r="A105" s="120" t="s">
        <v>1661</v>
      </c>
      <c r="B105" s="1" t="s">
        <v>1405</v>
      </c>
      <c r="C105" s="111" t="s">
        <v>13</v>
      </c>
      <c r="D105" s="496">
        <f>ALVENARIA!E97</f>
        <v>424.53679999999986</v>
      </c>
      <c r="E105" s="40" t="s">
        <v>1235</v>
      </c>
    </row>
    <row r="106" spans="1:5" ht="22.5">
      <c r="A106" s="120" t="s">
        <v>1662</v>
      </c>
      <c r="B106" s="1" t="s">
        <v>1406</v>
      </c>
      <c r="C106" s="111" t="s">
        <v>13</v>
      </c>
      <c r="D106" s="496">
        <f>ALVENARIA!E96</f>
        <v>2583.1999999999998</v>
      </c>
      <c r="E106" s="40" t="s">
        <v>1235</v>
      </c>
    </row>
    <row r="107" spans="1:5">
      <c r="A107" s="120" t="s">
        <v>1663</v>
      </c>
      <c r="B107" s="1" t="s">
        <v>1407</v>
      </c>
      <c r="C107" s="111" t="s">
        <v>13</v>
      </c>
      <c r="D107" s="496">
        <f>ALVENARIA!E97</f>
        <v>424.53679999999986</v>
      </c>
      <c r="E107" s="40" t="s">
        <v>1235</v>
      </c>
    </row>
    <row r="108" spans="1:5" ht="27">
      <c r="A108" s="120" t="s">
        <v>1664</v>
      </c>
      <c r="B108" s="1" t="s">
        <v>1106</v>
      </c>
      <c r="C108" s="111" t="s">
        <v>13</v>
      </c>
      <c r="D108" s="496">
        <f>1.06+1.79+1.26+0.77</f>
        <v>4.8800000000000008</v>
      </c>
      <c r="E108" s="116" t="s">
        <v>247</v>
      </c>
    </row>
    <row r="109" spans="1:5" s="146" customFormat="1" ht="12.75">
      <c r="A109" s="120" t="s">
        <v>1665</v>
      </c>
      <c r="B109" s="1" t="s">
        <v>6</v>
      </c>
      <c r="C109" s="111" t="s">
        <v>13</v>
      </c>
      <c r="D109" s="496">
        <f>ALVENARIA!G90*0.25</f>
        <v>18.299999999999997</v>
      </c>
      <c r="E109" s="116" t="s">
        <v>1420</v>
      </c>
    </row>
    <row r="110" spans="1:5" s="146" customFormat="1" ht="12.75">
      <c r="A110" s="120" t="s">
        <v>1666</v>
      </c>
      <c r="B110" s="228" t="s">
        <v>1430</v>
      </c>
      <c r="C110" s="226" t="s">
        <v>13</v>
      </c>
      <c r="D110" s="500">
        <f>18.78*0.6</f>
        <v>11.268000000000001</v>
      </c>
      <c r="E110" s="225" t="s">
        <v>1431</v>
      </c>
    </row>
    <row r="111" spans="1:5" s="146" customFormat="1" ht="12.75">
      <c r="A111" s="119"/>
      <c r="B111" s="228"/>
      <c r="C111" s="111"/>
      <c r="D111" s="500"/>
      <c r="E111" s="40"/>
    </row>
    <row r="112" spans="1:5" s="146" customFormat="1" ht="12.75">
      <c r="A112" s="119"/>
      <c r="B112" s="228"/>
      <c r="C112" s="111"/>
      <c r="D112" s="500"/>
      <c r="E112" s="40"/>
    </row>
    <row r="113" spans="1:5">
      <c r="A113" s="137" t="s">
        <v>1668</v>
      </c>
      <c r="B113" s="122" t="s">
        <v>1230</v>
      </c>
      <c r="C113" s="113"/>
      <c r="D113" s="496"/>
      <c r="E113" s="116"/>
    </row>
    <row r="114" spans="1:5" ht="22.5">
      <c r="A114" s="120" t="s">
        <v>1669</v>
      </c>
      <c r="B114" s="1" t="s">
        <v>1408</v>
      </c>
      <c r="C114" s="111" t="s">
        <v>13</v>
      </c>
      <c r="D114" s="496">
        <f>FORRO!H14</f>
        <v>316.86330000000004</v>
      </c>
      <c r="E114" s="40" t="s">
        <v>314</v>
      </c>
    </row>
    <row r="115" spans="1:5" ht="22.5">
      <c r="A115" s="120" t="s">
        <v>1670</v>
      </c>
      <c r="B115" s="1" t="s">
        <v>1409</v>
      </c>
      <c r="C115" s="111" t="s">
        <v>13</v>
      </c>
      <c r="D115" s="496">
        <f>FORRO!H14</f>
        <v>316.86330000000004</v>
      </c>
      <c r="E115" s="40" t="s">
        <v>314</v>
      </c>
    </row>
    <row r="116" spans="1:5" ht="33.75">
      <c r="A116" s="120" t="s">
        <v>1671</v>
      </c>
      <c r="B116" s="1" t="s">
        <v>313</v>
      </c>
      <c r="C116" s="111" t="s">
        <v>13</v>
      </c>
      <c r="D116" s="496">
        <f>FORRO!H15</f>
        <v>274.22059999999999</v>
      </c>
      <c r="E116" s="40" t="s">
        <v>314</v>
      </c>
    </row>
    <row r="117" spans="1:5">
      <c r="A117" s="119"/>
      <c r="B117" s="112"/>
      <c r="C117" s="111"/>
      <c r="D117" s="499"/>
      <c r="E117" s="115"/>
    </row>
    <row r="118" spans="1:5">
      <c r="A118" s="119"/>
      <c r="B118" s="112"/>
      <c r="C118" s="111"/>
      <c r="D118" s="496"/>
      <c r="E118" s="40"/>
    </row>
    <row r="119" spans="1:5">
      <c r="A119" s="137" t="s">
        <v>1672</v>
      </c>
      <c r="B119" s="122" t="s">
        <v>23</v>
      </c>
      <c r="C119" s="113"/>
      <c r="D119" s="496"/>
      <c r="E119" s="40"/>
    </row>
    <row r="120" spans="1:5" ht="33.75">
      <c r="A120" s="120" t="s">
        <v>1673</v>
      </c>
      <c r="B120" s="1" t="s">
        <v>1410</v>
      </c>
      <c r="C120" s="111" t="s">
        <v>13</v>
      </c>
      <c r="D120" s="496">
        <f>PISO!H16+PISO!H17</f>
        <v>1121.5733</v>
      </c>
      <c r="E120" s="40" t="s">
        <v>2140</v>
      </c>
    </row>
    <row r="121" spans="1:5" ht="33.75">
      <c r="A121" s="120" t="s">
        <v>1674</v>
      </c>
      <c r="B121" s="1" t="s">
        <v>1401</v>
      </c>
      <c r="C121" s="111" t="s">
        <v>13</v>
      </c>
      <c r="D121" s="496">
        <f>PISO!H17</f>
        <v>994.51529999999991</v>
      </c>
      <c r="E121" s="40" t="s">
        <v>250</v>
      </c>
    </row>
    <row r="122" spans="1:5" ht="22.5">
      <c r="A122" s="120" t="s">
        <v>1675</v>
      </c>
      <c r="B122" s="1" t="s">
        <v>1437</v>
      </c>
      <c r="C122" s="111" t="s">
        <v>13</v>
      </c>
      <c r="D122" s="496">
        <f>PISO!H16</f>
        <v>127.05800000000001</v>
      </c>
      <c r="E122" s="40" t="s">
        <v>250</v>
      </c>
    </row>
    <row r="123" spans="1:5" ht="22.5">
      <c r="A123" s="120" t="s">
        <v>1676</v>
      </c>
      <c r="B123" s="228" t="s">
        <v>248</v>
      </c>
      <c r="C123" s="111" t="s">
        <v>13</v>
      </c>
      <c r="D123" s="496">
        <f>PISO!H17</f>
        <v>994.51529999999991</v>
      </c>
      <c r="E123" s="40" t="s">
        <v>250</v>
      </c>
    </row>
    <row r="124" spans="1:5" ht="45">
      <c r="A124" s="120" t="s">
        <v>1677</v>
      </c>
      <c r="B124" s="1" t="s">
        <v>1238</v>
      </c>
      <c r="C124" s="111" t="s">
        <v>13</v>
      </c>
      <c r="D124" s="496">
        <f>PISO!H18</f>
        <v>1056</v>
      </c>
      <c r="E124" s="40" t="s">
        <v>250</v>
      </c>
    </row>
    <row r="125" spans="1:5" ht="33.75">
      <c r="A125" s="120" t="s">
        <v>1678</v>
      </c>
      <c r="B125" s="1" t="s">
        <v>1242</v>
      </c>
      <c r="C125" s="111" t="s">
        <v>13</v>
      </c>
      <c r="D125" s="496">
        <f>PISO!H19</f>
        <v>318.52800000000002</v>
      </c>
      <c r="E125" s="40" t="s">
        <v>250</v>
      </c>
    </row>
    <row r="126" spans="1:5" ht="22.5">
      <c r="A126" s="120" t="s">
        <v>1679</v>
      </c>
      <c r="B126" s="1" t="s">
        <v>249</v>
      </c>
      <c r="C126" s="111" t="s">
        <v>15</v>
      </c>
      <c r="D126" s="496">
        <f>PISO!I23</f>
        <v>239.13</v>
      </c>
      <c r="E126" s="40" t="s">
        <v>266</v>
      </c>
    </row>
    <row r="127" spans="1:5">
      <c r="A127" s="120" t="s">
        <v>1680</v>
      </c>
      <c r="B127" s="1" t="s">
        <v>8</v>
      </c>
      <c r="C127" s="111" t="s">
        <v>15</v>
      </c>
      <c r="D127" s="496">
        <f>1*8+1.1*2</f>
        <v>10.199999999999999</v>
      </c>
      <c r="E127" s="40" t="s">
        <v>246</v>
      </c>
    </row>
    <row r="128" spans="1:5">
      <c r="A128" s="120" t="s">
        <v>2093</v>
      </c>
      <c r="B128" s="1" t="s">
        <v>2138</v>
      </c>
      <c r="C128" s="226" t="s">
        <v>15</v>
      </c>
      <c r="D128" s="496">
        <f>3497.56-2185.95</f>
        <v>1311.6100000000001</v>
      </c>
      <c r="E128" s="225" t="s">
        <v>2146</v>
      </c>
    </row>
    <row r="129" spans="1:5">
      <c r="A129" s="120" t="s">
        <v>2094</v>
      </c>
      <c r="B129" s="1" t="s">
        <v>2139</v>
      </c>
      <c r="C129" s="226" t="s">
        <v>15</v>
      </c>
      <c r="D129" s="496">
        <f>2*76.6+2*45.66</f>
        <v>244.51999999999998</v>
      </c>
      <c r="E129" s="225" t="s">
        <v>2145</v>
      </c>
    </row>
    <row r="130" spans="1:5">
      <c r="A130" s="119"/>
      <c r="B130" s="112"/>
      <c r="C130" s="111"/>
      <c r="D130" s="496"/>
      <c r="E130" s="40"/>
    </row>
    <row r="131" spans="1:5">
      <c r="A131" s="120"/>
      <c r="B131" s="1"/>
      <c r="C131" s="111"/>
      <c r="D131" s="496"/>
      <c r="E131" s="40"/>
    </row>
    <row r="132" spans="1:5">
      <c r="A132" s="137" t="s">
        <v>1681</v>
      </c>
      <c r="B132" s="122" t="s">
        <v>3</v>
      </c>
      <c r="C132" s="113"/>
      <c r="D132" s="499"/>
      <c r="E132" s="115"/>
    </row>
    <row r="133" spans="1:5" ht="22.5">
      <c r="A133" s="120" t="s">
        <v>1682</v>
      </c>
      <c r="B133" s="1" t="s">
        <v>2147</v>
      </c>
      <c r="C133" s="111" t="s">
        <v>13</v>
      </c>
      <c r="D133" s="496">
        <f>ALVENARIA!E96+FORRO!H14</f>
        <v>2900.0632999999998</v>
      </c>
      <c r="E133" s="116" t="s">
        <v>1449</v>
      </c>
    </row>
    <row r="134" spans="1:5" ht="22.5">
      <c r="A134" s="120" t="s">
        <v>1683</v>
      </c>
      <c r="B134" s="1" t="s">
        <v>1105</v>
      </c>
      <c r="C134" s="111" t="s">
        <v>13</v>
      </c>
      <c r="D134" s="496">
        <v>3062.44</v>
      </c>
      <c r="E134" s="116" t="s">
        <v>1450</v>
      </c>
    </row>
    <row r="135" spans="1:5" ht="22.5">
      <c r="A135" s="120" t="s">
        <v>1684</v>
      </c>
      <c r="B135" s="1" t="s">
        <v>1030</v>
      </c>
      <c r="C135" s="111" t="s">
        <v>13</v>
      </c>
      <c r="D135" s="496">
        <v>3062.44</v>
      </c>
      <c r="E135" s="116" t="s">
        <v>1450</v>
      </c>
    </row>
    <row r="136" spans="1:5" ht="33.75">
      <c r="A136" s="120" t="s">
        <v>1685</v>
      </c>
      <c r="B136" s="1" t="s">
        <v>1032</v>
      </c>
      <c r="C136" s="111" t="s">
        <v>13</v>
      </c>
      <c r="D136" s="496">
        <v>2561.63</v>
      </c>
      <c r="E136" s="40" t="s">
        <v>308</v>
      </c>
    </row>
    <row r="137" spans="1:5" ht="22.5">
      <c r="A137" s="120" t="s">
        <v>1686</v>
      </c>
      <c r="B137" s="1" t="s">
        <v>307</v>
      </c>
      <c r="C137" s="111" t="s">
        <v>13</v>
      </c>
      <c r="D137" s="496">
        <v>811.26</v>
      </c>
      <c r="E137" s="116" t="s">
        <v>309</v>
      </c>
    </row>
    <row r="138" spans="1:5" ht="22.5">
      <c r="A138" s="120" t="s">
        <v>1687</v>
      </c>
      <c r="B138" s="1" t="s">
        <v>303</v>
      </c>
      <c r="C138" s="111" t="s">
        <v>15</v>
      </c>
      <c r="D138" s="496">
        <v>620.65</v>
      </c>
      <c r="E138" s="40" t="s">
        <v>310</v>
      </c>
    </row>
    <row r="139" spans="1:5">
      <c r="A139" s="120" t="s">
        <v>1688</v>
      </c>
      <c r="B139" s="1" t="s">
        <v>2052</v>
      </c>
      <c r="C139" s="111" t="s">
        <v>13</v>
      </c>
      <c r="D139" s="496">
        <v>1056</v>
      </c>
      <c r="E139" s="40" t="s">
        <v>2154</v>
      </c>
    </row>
    <row r="140" spans="1:5">
      <c r="A140" s="119"/>
      <c r="B140" s="112"/>
      <c r="C140" s="111"/>
      <c r="D140" s="496"/>
      <c r="E140" s="40"/>
    </row>
    <row r="141" spans="1:5">
      <c r="A141" s="119"/>
      <c r="B141" s="112"/>
      <c r="C141" s="111"/>
      <c r="D141" s="499"/>
      <c r="E141" s="115"/>
    </row>
    <row r="142" spans="1:5">
      <c r="A142" s="136" t="s">
        <v>1689</v>
      </c>
      <c r="B142" s="122" t="s">
        <v>18</v>
      </c>
      <c r="C142" s="113"/>
      <c r="D142" s="496"/>
      <c r="E142" s="40"/>
    </row>
    <row r="143" spans="1:5">
      <c r="A143" s="119" t="s">
        <v>1690</v>
      </c>
      <c r="B143" s="1" t="s">
        <v>222</v>
      </c>
      <c r="C143" s="111" t="s">
        <v>13</v>
      </c>
      <c r="D143" s="496">
        <f>ALVENARIA!F70+ALVENARIA!F72+ALVENARIA!F73</f>
        <v>20.665000000000003</v>
      </c>
      <c r="E143" s="40" t="s">
        <v>2159</v>
      </c>
    </row>
    <row r="144" spans="1:5" ht="22.5">
      <c r="A144" s="119" t="s">
        <v>1691</v>
      </c>
      <c r="B144" s="1" t="s">
        <v>1070</v>
      </c>
      <c r="C144" s="111" t="s">
        <v>14</v>
      </c>
      <c r="D144" s="496">
        <f>ALVENARIA!L90</f>
        <v>9</v>
      </c>
      <c r="E144" s="225" t="s">
        <v>2160</v>
      </c>
    </row>
    <row r="145" spans="1:5">
      <c r="A145" s="119" t="s">
        <v>1692</v>
      </c>
      <c r="B145" s="1" t="s">
        <v>1394</v>
      </c>
      <c r="C145" s="111" t="s">
        <v>14</v>
      </c>
      <c r="D145" s="496">
        <f>ALVENARIA!K90</f>
        <v>37</v>
      </c>
      <c r="E145" s="225" t="s">
        <v>2161</v>
      </c>
    </row>
    <row r="146" spans="1:5" ht="22.5">
      <c r="A146" s="119" t="s">
        <v>1693</v>
      </c>
      <c r="B146" s="1" t="s">
        <v>1395</v>
      </c>
      <c r="C146" s="111" t="s">
        <v>13</v>
      </c>
      <c r="D146" s="496">
        <f>SUM(ALVENARIA!F76:F89)</f>
        <v>86.316199999999981</v>
      </c>
      <c r="E146" s="116" t="s">
        <v>2157</v>
      </c>
    </row>
    <row r="147" spans="1:5">
      <c r="A147" s="119" t="s">
        <v>1694</v>
      </c>
      <c r="B147" s="1" t="s">
        <v>1452</v>
      </c>
      <c r="C147" s="111" t="s">
        <v>13</v>
      </c>
      <c r="D147" s="496">
        <f>(44.2+24)*2*0.85</f>
        <v>115.94</v>
      </c>
      <c r="E147" s="40" t="s">
        <v>242</v>
      </c>
    </row>
    <row r="148" spans="1:5" ht="22.5">
      <c r="A148" s="119" t="s">
        <v>1695</v>
      </c>
      <c r="B148" s="1" t="s">
        <v>243</v>
      </c>
      <c r="C148" s="111" t="s">
        <v>15</v>
      </c>
      <c r="D148" s="496">
        <f>6*2+7.2</f>
        <v>19.2</v>
      </c>
      <c r="E148" s="40" t="s">
        <v>244</v>
      </c>
    </row>
    <row r="149" spans="1:5" ht="18">
      <c r="A149" s="119" t="s">
        <v>1696</v>
      </c>
      <c r="B149" s="1" t="s">
        <v>7</v>
      </c>
      <c r="C149" s="111" t="s">
        <v>13</v>
      </c>
      <c r="D149" s="496">
        <f>62.49*1.1+7.2*1.1+96.46*1.75+8.9*1.25+7.7*1</f>
        <v>264.28899999999999</v>
      </c>
      <c r="E149" s="116" t="s">
        <v>245</v>
      </c>
    </row>
    <row r="150" spans="1:5" ht="22.5">
      <c r="A150" s="119" t="s">
        <v>1697</v>
      </c>
      <c r="B150" s="228" t="s">
        <v>1372</v>
      </c>
      <c r="C150" s="226" t="s">
        <v>13</v>
      </c>
      <c r="D150" s="496">
        <f>ALVENARIA!F71+ALVENARIA!F74</f>
        <v>53.1</v>
      </c>
      <c r="E150" s="116" t="s">
        <v>2158</v>
      </c>
    </row>
    <row r="151" spans="1:5" ht="22.5">
      <c r="A151" s="119" t="s">
        <v>1698</v>
      </c>
      <c r="B151" s="228" t="s">
        <v>1421</v>
      </c>
      <c r="C151" s="226" t="s">
        <v>13</v>
      </c>
      <c r="D151" s="496">
        <f>(0.99*2+12.11)*1.1*2</f>
        <v>30.998000000000001</v>
      </c>
      <c r="E151" s="116" t="s">
        <v>1422</v>
      </c>
    </row>
    <row r="152" spans="1:5" ht="45">
      <c r="A152" s="119" t="s">
        <v>2155</v>
      </c>
      <c r="B152" s="228" t="s">
        <v>636</v>
      </c>
      <c r="C152" s="226" t="s">
        <v>13</v>
      </c>
      <c r="D152" s="496">
        <f>ALVENARIA!P6</f>
        <v>60.525000000000006</v>
      </c>
      <c r="E152" s="116" t="s">
        <v>2156</v>
      </c>
    </row>
    <row r="153" spans="1:5">
      <c r="A153" s="119"/>
      <c r="B153" s="228"/>
      <c r="C153" s="111"/>
      <c r="D153" s="499"/>
      <c r="E153" s="40"/>
    </row>
    <row r="154" spans="1:5">
      <c r="A154" s="119"/>
      <c r="B154" s="228"/>
      <c r="C154" s="111"/>
      <c r="D154" s="496"/>
      <c r="E154" s="116"/>
    </row>
    <row r="155" spans="1:5" s="146" customFormat="1" ht="12.75">
      <c r="A155" s="137" t="s">
        <v>1701</v>
      </c>
      <c r="B155" s="122" t="s">
        <v>19</v>
      </c>
      <c r="C155" s="113"/>
      <c r="D155" s="500"/>
      <c r="E155" s="40"/>
    </row>
    <row r="156" spans="1:5">
      <c r="A156" s="120" t="s">
        <v>1699</v>
      </c>
      <c r="B156" s="1" t="s">
        <v>652</v>
      </c>
      <c r="C156" s="111" t="s">
        <v>13</v>
      </c>
      <c r="D156" s="496">
        <f>D146</f>
        <v>86.316199999999981</v>
      </c>
      <c r="E156" s="40" t="s">
        <v>1232</v>
      </c>
    </row>
    <row r="157" spans="1:5" ht="22.5">
      <c r="A157" s="120" t="s">
        <v>1700</v>
      </c>
      <c r="B157" s="1" t="s">
        <v>656</v>
      </c>
      <c r="C157" s="111" t="s">
        <v>13</v>
      </c>
      <c r="D157" s="496">
        <f>1.5*0.9*2+1.8*0.9*2+2.5*0.9*2+0.7*0.9*2</f>
        <v>11.700000000000001</v>
      </c>
      <c r="E157" s="116" t="s">
        <v>1233</v>
      </c>
    </row>
    <row r="158" spans="1:5">
      <c r="A158" s="119"/>
      <c r="B158" s="228"/>
      <c r="C158" s="111"/>
      <c r="D158" s="500"/>
      <c r="E158" s="40"/>
    </row>
    <row r="159" spans="1:5">
      <c r="A159" s="120"/>
      <c r="B159" s="1"/>
      <c r="C159" s="111"/>
      <c r="D159" s="501"/>
      <c r="E159" s="40"/>
    </row>
    <row r="160" spans="1:5">
      <c r="A160" s="121" t="s">
        <v>1703</v>
      </c>
      <c r="B160" s="122" t="s">
        <v>426</v>
      </c>
      <c r="C160" s="113"/>
      <c r="D160" s="496"/>
      <c r="E160" s="40"/>
    </row>
    <row r="161" spans="1:5">
      <c r="A161" s="140" t="s">
        <v>1704</v>
      </c>
      <c r="B161" s="141" t="s">
        <v>427</v>
      </c>
      <c r="C161" s="142"/>
      <c r="D161" s="496"/>
      <c r="E161" s="40"/>
    </row>
    <row r="162" spans="1:5">
      <c r="A162" s="143" t="s">
        <v>1705</v>
      </c>
      <c r="B162" s="1" t="s">
        <v>435</v>
      </c>
      <c r="C162" s="117" t="s">
        <v>16</v>
      </c>
      <c r="D162" s="500">
        <v>21</v>
      </c>
      <c r="E162" s="40" t="s">
        <v>271</v>
      </c>
    </row>
    <row r="163" spans="1:5">
      <c r="A163" s="143" t="s">
        <v>1706</v>
      </c>
      <c r="B163" s="1" t="s">
        <v>436</v>
      </c>
      <c r="C163" s="117" t="s">
        <v>553</v>
      </c>
      <c r="D163" s="500">
        <v>80</v>
      </c>
      <c r="E163" s="40" t="s">
        <v>271</v>
      </c>
    </row>
    <row r="164" spans="1:5" ht="22.5">
      <c r="A164" s="143" t="s">
        <v>1707</v>
      </c>
      <c r="B164" s="1" t="s">
        <v>437</v>
      </c>
      <c r="C164" s="117" t="s">
        <v>15</v>
      </c>
      <c r="D164" s="500">
        <v>477</v>
      </c>
      <c r="E164" s="40" t="s">
        <v>271</v>
      </c>
    </row>
    <row r="165" spans="1:5" ht="22.5">
      <c r="A165" s="143" t="s">
        <v>1969</v>
      </c>
      <c r="B165" s="1" t="s">
        <v>438</v>
      </c>
      <c r="C165" s="117" t="s">
        <v>15</v>
      </c>
      <c r="D165" s="500">
        <v>911</v>
      </c>
      <c r="E165" s="40" t="s">
        <v>271</v>
      </c>
    </row>
    <row r="166" spans="1:5" ht="22.5">
      <c r="A166" s="143" t="s">
        <v>1970</v>
      </c>
      <c r="B166" s="1" t="s">
        <v>439</v>
      </c>
      <c r="C166" s="117" t="s">
        <v>15</v>
      </c>
      <c r="D166" s="500">
        <v>1576</v>
      </c>
      <c r="E166" s="40" t="s">
        <v>271</v>
      </c>
    </row>
    <row r="167" spans="1:5" ht="22.5">
      <c r="A167" s="143" t="s">
        <v>1971</v>
      </c>
      <c r="B167" s="1" t="s">
        <v>440</v>
      </c>
      <c r="C167" s="117" t="s">
        <v>15</v>
      </c>
      <c r="D167" s="500">
        <v>2576</v>
      </c>
      <c r="E167" s="40" t="s">
        <v>271</v>
      </c>
    </row>
    <row r="168" spans="1:5" ht="22.5">
      <c r="A168" s="143" t="s">
        <v>1708</v>
      </c>
      <c r="B168" s="1" t="s">
        <v>441</v>
      </c>
      <c r="C168" s="117" t="s">
        <v>15</v>
      </c>
      <c r="D168" s="500">
        <v>626</v>
      </c>
      <c r="E168" s="40" t="s">
        <v>271</v>
      </c>
    </row>
    <row r="169" spans="1:5" ht="22.5">
      <c r="A169" s="143" t="s">
        <v>1972</v>
      </c>
      <c r="B169" s="1" t="s">
        <v>442</v>
      </c>
      <c r="C169" s="117" t="s">
        <v>15</v>
      </c>
      <c r="D169" s="500">
        <v>313</v>
      </c>
      <c r="E169" s="40" t="s">
        <v>271</v>
      </c>
    </row>
    <row r="170" spans="1:5" ht="22.5">
      <c r="A170" s="143" t="s">
        <v>1709</v>
      </c>
      <c r="B170" s="1" t="s">
        <v>443</v>
      </c>
      <c r="C170" s="117" t="s">
        <v>15</v>
      </c>
      <c r="D170" s="500">
        <v>14</v>
      </c>
      <c r="E170" s="40" t="s">
        <v>271</v>
      </c>
    </row>
    <row r="171" spans="1:5" ht="22.5">
      <c r="A171" s="143" t="s">
        <v>1973</v>
      </c>
      <c r="B171" s="1" t="s">
        <v>444</v>
      </c>
      <c r="C171" s="117" t="s">
        <v>15</v>
      </c>
      <c r="D171" s="500">
        <v>7</v>
      </c>
      <c r="E171" s="40" t="s">
        <v>271</v>
      </c>
    </row>
    <row r="172" spans="1:5" ht="22.5">
      <c r="A172" s="143" t="s">
        <v>1710</v>
      </c>
      <c r="B172" s="1" t="s">
        <v>445</v>
      </c>
      <c r="C172" s="117" t="s">
        <v>14</v>
      </c>
      <c r="D172" s="500">
        <v>122</v>
      </c>
      <c r="E172" s="40" t="s">
        <v>271</v>
      </c>
    </row>
    <row r="173" spans="1:5" ht="22.5">
      <c r="A173" s="143" t="s">
        <v>1711</v>
      </c>
      <c r="B173" s="1" t="s">
        <v>446</v>
      </c>
      <c r="C173" s="117" t="s">
        <v>14</v>
      </c>
      <c r="D173" s="500">
        <v>4</v>
      </c>
      <c r="E173" s="40" t="s">
        <v>271</v>
      </c>
    </row>
    <row r="174" spans="1:5" ht="22.5">
      <c r="A174" s="143" t="s">
        <v>1712</v>
      </c>
      <c r="B174" s="1" t="s">
        <v>447</v>
      </c>
      <c r="C174" s="117" t="s">
        <v>14</v>
      </c>
      <c r="D174" s="500">
        <v>75</v>
      </c>
      <c r="E174" s="40" t="s">
        <v>271</v>
      </c>
    </row>
    <row r="175" spans="1:5" ht="22.5">
      <c r="A175" s="143" t="s">
        <v>1713</v>
      </c>
      <c r="B175" s="1" t="s">
        <v>448</v>
      </c>
      <c r="C175" s="117" t="s">
        <v>14</v>
      </c>
      <c r="D175" s="500">
        <v>14</v>
      </c>
      <c r="E175" s="40" t="s">
        <v>271</v>
      </c>
    </row>
    <row r="176" spans="1:5" ht="22.5">
      <c r="A176" s="143" t="s">
        <v>1714</v>
      </c>
      <c r="B176" s="1" t="s">
        <v>449</v>
      </c>
      <c r="C176" s="117" t="s">
        <v>14</v>
      </c>
      <c r="D176" s="500">
        <v>2</v>
      </c>
      <c r="E176" s="40" t="s">
        <v>271</v>
      </c>
    </row>
    <row r="177" spans="1:5" ht="22.5">
      <c r="A177" s="143" t="s">
        <v>1715</v>
      </c>
      <c r="B177" s="1" t="s">
        <v>450</v>
      </c>
      <c r="C177" s="117" t="s">
        <v>14</v>
      </c>
      <c r="D177" s="500">
        <v>4</v>
      </c>
      <c r="E177" s="40" t="s">
        <v>271</v>
      </c>
    </row>
    <row r="178" spans="1:5" ht="22.5">
      <c r="A178" s="143" t="s">
        <v>1716</v>
      </c>
      <c r="B178" s="1" t="s">
        <v>451</v>
      </c>
      <c r="C178" s="117" t="s">
        <v>14</v>
      </c>
      <c r="D178" s="500">
        <v>3</v>
      </c>
      <c r="E178" s="40" t="s">
        <v>271</v>
      </c>
    </row>
    <row r="179" spans="1:5" ht="22.5">
      <c r="A179" s="143" t="s">
        <v>1717</v>
      </c>
      <c r="B179" s="1" t="s">
        <v>452</v>
      </c>
      <c r="C179" s="117" t="s">
        <v>14</v>
      </c>
      <c r="D179" s="500">
        <v>22</v>
      </c>
      <c r="E179" s="40" t="s">
        <v>271</v>
      </c>
    </row>
    <row r="180" spans="1:5" ht="22.5">
      <c r="A180" s="143" t="s">
        <v>1719</v>
      </c>
      <c r="B180" s="1" t="s">
        <v>453</v>
      </c>
      <c r="C180" s="117" t="s">
        <v>14</v>
      </c>
      <c r="D180" s="500">
        <v>2</v>
      </c>
      <c r="E180" s="40" t="s">
        <v>271</v>
      </c>
    </row>
    <row r="181" spans="1:5" ht="22.5">
      <c r="A181" s="143" t="s">
        <v>1720</v>
      </c>
      <c r="B181" s="1" t="s">
        <v>454</v>
      </c>
      <c r="C181" s="117" t="s">
        <v>14</v>
      </c>
      <c r="D181" s="500">
        <v>7</v>
      </c>
      <c r="E181" s="40" t="s">
        <v>271</v>
      </c>
    </row>
    <row r="182" spans="1:5" ht="22.5">
      <c r="A182" s="143" t="s">
        <v>1721</v>
      </c>
      <c r="B182" s="1" t="s">
        <v>455</v>
      </c>
      <c r="C182" s="117" t="s">
        <v>14</v>
      </c>
      <c r="D182" s="500">
        <v>1</v>
      </c>
      <c r="E182" s="40" t="s">
        <v>271</v>
      </c>
    </row>
    <row r="183" spans="1:5">
      <c r="A183" s="143" t="s">
        <v>1722</v>
      </c>
      <c r="B183" s="1" t="s">
        <v>2162</v>
      </c>
      <c r="C183" s="117" t="s">
        <v>14</v>
      </c>
      <c r="D183" s="500">
        <v>2</v>
      </c>
      <c r="E183" s="40" t="s">
        <v>271</v>
      </c>
    </row>
    <row r="184" spans="1:5" ht="22.5">
      <c r="A184" s="143" t="s">
        <v>1723</v>
      </c>
      <c r="B184" s="1" t="s">
        <v>456</v>
      </c>
      <c r="C184" s="117" t="s">
        <v>14</v>
      </c>
      <c r="D184" s="500">
        <v>2</v>
      </c>
      <c r="E184" s="40" t="s">
        <v>271</v>
      </c>
    </row>
    <row r="185" spans="1:5" ht="22.5">
      <c r="A185" s="143" t="s">
        <v>1724</v>
      </c>
      <c r="B185" s="1" t="s">
        <v>457</v>
      </c>
      <c r="C185" s="117" t="s">
        <v>15</v>
      </c>
      <c r="D185" s="500">
        <v>150</v>
      </c>
      <c r="E185" s="40" t="s">
        <v>271</v>
      </c>
    </row>
    <row r="186" spans="1:5" ht="22.5">
      <c r="A186" s="143" t="s">
        <v>1725</v>
      </c>
      <c r="B186" s="1" t="s">
        <v>458</v>
      </c>
      <c r="C186" s="117" t="s">
        <v>15</v>
      </c>
      <c r="D186" s="500">
        <v>600</v>
      </c>
      <c r="E186" s="40" t="s">
        <v>271</v>
      </c>
    </row>
    <row r="187" spans="1:5" ht="22.5">
      <c r="A187" s="143" t="s">
        <v>1726</v>
      </c>
      <c r="B187" s="1" t="s">
        <v>486</v>
      </c>
      <c r="C187" s="117" t="s">
        <v>15</v>
      </c>
      <c r="D187" s="500">
        <v>600</v>
      </c>
      <c r="E187" s="40" t="s">
        <v>271</v>
      </c>
    </row>
    <row r="188" spans="1:5" ht="22.5">
      <c r="A188" s="143" t="s">
        <v>1727</v>
      </c>
      <c r="B188" s="1" t="s">
        <v>487</v>
      </c>
      <c r="C188" s="117" t="s">
        <v>15</v>
      </c>
      <c r="D188" s="500">
        <v>130</v>
      </c>
      <c r="E188" s="40" t="s">
        <v>271</v>
      </c>
    </row>
    <row r="189" spans="1:5" ht="22.5">
      <c r="A189" s="143" t="s">
        <v>1728</v>
      </c>
      <c r="B189" s="1" t="s">
        <v>460</v>
      </c>
      <c r="C189" s="117" t="s">
        <v>14</v>
      </c>
      <c r="D189" s="500">
        <v>5</v>
      </c>
      <c r="E189" s="40" t="s">
        <v>271</v>
      </c>
    </row>
    <row r="190" spans="1:5" ht="22.5">
      <c r="A190" s="143" t="s">
        <v>1730</v>
      </c>
      <c r="B190" s="1" t="s">
        <v>461</v>
      </c>
      <c r="C190" s="117" t="s">
        <v>14</v>
      </c>
      <c r="D190" s="500">
        <v>13</v>
      </c>
      <c r="E190" s="40" t="s">
        <v>271</v>
      </c>
    </row>
    <row r="191" spans="1:5" ht="22.5">
      <c r="A191" s="143" t="s">
        <v>1731</v>
      </c>
      <c r="B191" s="1" t="s">
        <v>462</v>
      </c>
      <c r="C191" s="117" t="s">
        <v>14</v>
      </c>
      <c r="D191" s="500">
        <v>5</v>
      </c>
      <c r="E191" s="40" t="s">
        <v>271</v>
      </c>
    </row>
    <row r="192" spans="1:5" ht="67.5">
      <c r="A192" s="143" t="s">
        <v>1732</v>
      </c>
      <c r="B192" s="1" t="s">
        <v>463</v>
      </c>
      <c r="C192" s="117" t="s">
        <v>14</v>
      </c>
      <c r="D192" s="500">
        <v>62</v>
      </c>
      <c r="E192" s="40" t="s">
        <v>271</v>
      </c>
    </row>
    <row r="193" spans="1:5" ht="67.5">
      <c r="A193" s="143" t="s">
        <v>1733</v>
      </c>
      <c r="B193" s="1" t="s">
        <v>464</v>
      </c>
      <c r="C193" s="117" t="s">
        <v>14</v>
      </c>
      <c r="D193" s="500">
        <v>13</v>
      </c>
      <c r="E193" s="40" t="s">
        <v>271</v>
      </c>
    </row>
    <row r="194" spans="1:5" ht="67.5">
      <c r="A194" s="143" t="s">
        <v>1734</v>
      </c>
      <c r="B194" s="1" t="s">
        <v>465</v>
      </c>
      <c r="C194" s="117" t="s">
        <v>14</v>
      </c>
      <c r="D194" s="500">
        <v>6</v>
      </c>
      <c r="E194" s="40" t="s">
        <v>271</v>
      </c>
    </row>
    <row r="195" spans="1:5" ht="67.5">
      <c r="A195" s="143" t="s">
        <v>1735</v>
      </c>
      <c r="B195" s="1" t="s">
        <v>466</v>
      </c>
      <c r="C195" s="117" t="s">
        <v>14</v>
      </c>
      <c r="D195" s="500">
        <v>20</v>
      </c>
      <c r="E195" s="40" t="s">
        <v>271</v>
      </c>
    </row>
    <row r="196" spans="1:5" ht="22.5">
      <c r="A196" s="143" t="s">
        <v>1736</v>
      </c>
      <c r="B196" s="1" t="s">
        <v>467</v>
      </c>
      <c r="C196" s="117" t="s">
        <v>14</v>
      </c>
      <c r="D196" s="500">
        <v>11</v>
      </c>
      <c r="E196" s="40" t="s">
        <v>271</v>
      </c>
    </row>
    <row r="197" spans="1:5" ht="67.5">
      <c r="A197" s="143" t="s">
        <v>1737</v>
      </c>
      <c r="B197" s="1" t="s">
        <v>468</v>
      </c>
      <c r="C197" s="117" t="s">
        <v>14</v>
      </c>
      <c r="D197" s="500">
        <v>1</v>
      </c>
      <c r="E197" s="40" t="s">
        <v>271</v>
      </c>
    </row>
    <row r="198" spans="1:5" ht="67.5">
      <c r="A198" s="143" t="s">
        <v>1976</v>
      </c>
      <c r="B198" s="1" t="s">
        <v>469</v>
      </c>
      <c r="C198" s="117" t="s">
        <v>14</v>
      </c>
      <c r="D198" s="500">
        <v>1</v>
      </c>
      <c r="E198" s="40" t="s">
        <v>271</v>
      </c>
    </row>
    <row r="199" spans="1:5" ht="22.5">
      <c r="A199" s="143" t="s">
        <v>1977</v>
      </c>
      <c r="B199" s="1" t="s">
        <v>470</v>
      </c>
      <c r="C199" s="117" t="s">
        <v>14</v>
      </c>
      <c r="D199" s="500">
        <v>72</v>
      </c>
      <c r="E199" s="40" t="s">
        <v>271</v>
      </c>
    </row>
    <row r="200" spans="1:5" ht="22.5">
      <c r="A200" s="143" t="s">
        <v>1738</v>
      </c>
      <c r="B200" s="1" t="s">
        <v>1296</v>
      </c>
      <c r="C200" s="117" t="s">
        <v>15</v>
      </c>
      <c r="D200" s="500">
        <v>60</v>
      </c>
      <c r="E200" s="40" t="s">
        <v>271</v>
      </c>
    </row>
    <row r="201" spans="1:5" ht="22.5">
      <c r="A201" s="143" t="s">
        <v>1739</v>
      </c>
      <c r="B201" s="1" t="s">
        <v>1298</v>
      </c>
      <c r="C201" s="117" t="s">
        <v>15</v>
      </c>
      <c r="D201" s="500">
        <v>20</v>
      </c>
      <c r="E201" s="40" t="s">
        <v>271</v>
      </c>
    </row>
    <row r="202" spans="1:5" ht="22.5">
      <c r="A202" s="143" t="s">
        <v>1740</v>
      </c>
      <c r="B202" s="1" t="s">
        <v>1300</v>
      </c>
      <c r="C202" s="117" t="s">
        <v>15</v>
      </c>
      <c r="D202" s="500">
        <v>20</v>
      </c>
      <c r="E202" s="40" t="s">
        <v>271</v>
      </c>
    </row>
    <row r="203" spans="1:5">
      <c r="A203" s="143" t="s">
        <v>1744</v>
      </c>
      <c r="B203" s="1" t="s">
        <v>1006</v>
      </c>
      <c r="C203" s="117" t="s">
        <v>14</v>
      </c>
      <c r="D203" s="500">
        <v>6</v>
      </c>
      <c r="E203" s="40" t="s">
        <v>271</v>
      </c>
    </row>
    <row r="204" spans="1:5" ht="22.5">
      <c r="A204" s="143" t="s">
        <v>1743</v>
      </c>
      <c r="B204" s="1" t="s">
        <v>1301</v>
      </c>
      <c r="C204" s="117" t="s">
        <v>14</v>
      </c>
      <c r="D204" s="500">
        <v>4</v>
      </c>
      <c r="E204" s="40" t="s">
        <v>271</v>
      </c>
    </row>
    <row r="205" spans="1:5" ht="22.5">
      <c r="A205" s="143" t="s">
        <v>1742</v>
      </c>
      <c r="B205" s="1" t="s">
        <v>1302</v>
      </c>
      <c r="C205" s="117" t="s">
        <v>15</v>
      </c>
      <c r="D205" s="500">
        <v>120</v>
      </c>
      <c r="E205" s="40" t="s">
        <v>271</v>
      </c>
    </row>
    <row r="206" spans="1:5" ht="22.5">
      <c r="A206" s="143" t="s">
        <v>1741</v>
      </c>
      <c r="B206" s="1" t="s">
        <v>1303</v>
      </c>
      <c r="C206" s="117" t="s">
        <v>15</v>
      </c>
      <c r="D206" s="500">
        <v>20</v>
      </c>
      <c r="E206" s="40" t="s">
        <v>271</v>
      </c>
    </row>
    <row r="207" spans="1:5">
      <c r="A207" s="143" t="s">
        <v>1995</v>
      </c>
      <c r="B207" s="1" t="s">
        <v>1277</v>
      </c>
      <c r="C207" s="117" t="s">
        <v>14</v>
      </c>
      <c r="D207" s="500">
        <v>16</v>
      </c>
      <c r="E207" s="40" t="s">
        <v>271</v>
      </c>
    </row>
    <row r="208" spans="1:5" ht="45">
      <c r="A208" s="143" t="s">
        <v>1996</v>
      </c>
      <c r="B208" s="1" t="s">
        <v>1281</v>
      </c>
      <c r="C208" s="117" t="s">
        <v>14</v>
      </c>
      <c r="D208" s="500">
        <v>1</v>
      </c>
      <c r="E208" s="40" t="s">
        <v>271</v>
      </c>
    </row>
    <row r="209" spans="1:5" ht="22.5">
      <c r="A209" s="143" t="s">
        <v>1997</v>
      </c>
      <c r="B209" s="1" t="s">
        <v>1287</v>
      </c>
      <c r="C209" s="117" t="s">
        <v>14</v>
      </c>
      <c r="D209" s="500">
        <v>1</v>
      </c>
      <c r="E209" s="40" t="s">
        <v>271</v>
      </c>
    </row>
    <row r="210" spans="1:5">
      <c r="A210" s="119"/>
      <c r="B210" s="112"/>
      <c r="C210" s="111"/>
      <c r="D210" s="496"/>
      <c r="E210" s="40"/>
    </row>
    <row r="211" spans="1:5">
      <c r="A211" s="120"/>
      <c r="B211" s="1"/>
      <c r="C211" s="111"/>
      <c r="D211" s="496"/>
      <c r="E211" s="40"/>
    </row>
    <row r="212" spans="1:5">
      <c r="A212" s="121" t="s">
        <v>1745</v>
      </c>
      <c r="B212" s="122" t="s">
        <v>428</v>
      </c>
      <c r="C212" s="111"/>
      <c r="D212" s="496"/>
      <c r="E212" s="40"/>
    </row>
    <row r="213" spans="1:5">
      <c r="A213" s="143" t="s">
        <v>1746</v>
      </c>
      <c r="B213" s="1" t="s">
        <v>435</v>
      </c>
      <c r="C213" s="117" t="s">
        <v>16</v>
      </c>
      <c r="D213" s="500">
        <v>5</v>
      </c>
      <c r="E213" s="40" t="s">
        <v>271</v>
      </c>
    </row>
    <row r="214" spans="1:5">
      <c r="A214" s="143" t="s">
        <v>1747</v>
      </c>
      <c r="B214" s="1" t="s">
        <v>471</v>
      </c>
      <c r="C214" s="117" t="s">
        <v>14</v>
      </c>
      <c r="D214" s="500">
        <v>2</v>
      </c>
      <c r="E214" s="40" t="s">
        <v>271</v>
      </c>
    </row>
    <row r="215" spans="1:5" ht="22.5">
      <c r="A215" s="143" t="s">
        <v>1764</v>
      </c>
      <c r="B215" s="1" t="s">
        <v>2163</v>
      </c>
      <c r="C215" s="117" t="s">
        <v>14</v>
      </c>
      <c r="D215" s="500">
        <v>6</v>
      </c>
      <c r="E215" s="40" t="s">
        <v>271</v>
      </c>
    </row>
    <row r="216" spans="1:5">
      <c r="A216" s="143" t="s">
        <v>1763</v>
      </c>
      <c r="B216" s="1" t="s">
        <v>472</v>
      </c>
      <c r="C216" s="117" t="s">
        <v>15</v>
      </c>
      <c r="D216" s="500">
        <v>10</v>
      </c>
      <c r="E216" s="40" t="s">
        <v>271</v>
      </c>
    </row>
    <row r="217" spans="1:5">
      <c r="A217" s="143" t="s">
        <v>1762</v>
      </c>
      <c r="B217" s="1" t="s">
        <v>473</v>
      </c>
      <c r="C217" s="117" t="s">
        <v>15</v>
      </c>
      <c r="D217" s="500">
        <v>100</v>
      </c>
      <c r="E217" s="40" t="s">
        <v>271</v>
      </c>
    </row>
    <row r="218" spans="1:5" ht="22.5">
      <c r="A218" s="143" t="s">
        <v>1761</v>
      </c>
      <c r="B218" s="1" t="s">
        <v>474</v>
      </c>
      <c r="C218" s="117" t="s">
        <v>15</v>
      </c>
      <c r="D218" s="500">
        <v>1150</v>
      </c>
      <c r="E218" s="40" t="s">
        <v>271</v>
      </c>
    </row>
    <row r="219" spans="1:5" ht="22.5">
      <c r="A219" s="143" t="s">
        <v>1760</v>
      </c>
      <c r="B219" s="1" t="s">
        <v>445</v>
      </c>
      <c r="C219" s="117" t="s">
        <v>14</v>
      </c>
      <c r="D219" s="500">
        <v>20</v>
      </c>
      <c r="E219" s="40" t="s">
        <v>271</v>
      </c>
    </row>
    <row r="220" spans="1:5">
      <c r="A220" s="143" t="s">
        <v>1759</v>
      </c>
      <c r="B220" s="1" t="s">
        <v>2164</v>
      </c>
      <c r="C220" s="117" t="s">
        <v>14</v>
      </c>
      <c r="D220" s="500">
        <v>2</v>
      </c>
      <c r="E220" s="40" t="s">
        <v>271</v>
      </c>
    </row>
    <row r="221" spans="1:5" ht="22.5">
      <c r="A221" s="143" t="s">
        <v>1758</v>
      </c>
      <c r="B221" s="1" t="s">
        <v>1107</v>
      </c>
      <c r="C221" s="117" t="s">
        <v>14</v>
      </c>
      <c r="D221" s="500">
        <v>2</v>
      </c>
      <c r="E221" s="40" t="s">
        <v>271</v>
      </c>
    </row>
    <row r="222" spans="1:5" ht="33.75">
      <c r="A222" s="143" t="s">
        <v>1757</v>
      </c>
      <c r="B222" s="1" t="s">
        <v>524</v>
      </c>
      <c r="C222" s="117" t="s">
        <v>14</v>
      </c>
      <c r="D222" s="500">
        <v>1</v>
      </c>
      <c r="E222" s="40" t="s">
        <v>271</v>
      </c>
    </row>
    <row r="223" spans="1:5" ht="22.5">
      <c r="A223" s="143" t="s">
        <v>1765</v>
      </c>
      <c r="B223" s="1" t="s">
        <v>497</v>
      </c>
      <c r="C223" s="117" t="s">
        <v>14</v>
      </c>
      <c r="D223" s="500">
        <v>1</v>
      </c>
      <c r="E223" s="40" t="s">
        <v>271</v>
      </c>
    </row>
    <row r="224" spans="1:5">
      <c r="A224" s="143" t="s">
        <v>1756</v>
      </c>
      <c r="B224" s="1" t="s">
        <v>475</v>
      </c>
      <c r="C224" s="117" t="s">
        <v>14</v>
      </c>
      <c r="D224" s="500">
        <v>40</v>
      </c>
      <c r="E224" s="40" t="s">
        <v>271</v>
      </c>
    </row>
    <row r="225" spans="1:5">
      <c r="A225" s="143" t="s">
        <v>1755</v>
      </c>
      <c r="B225" s="1" t="s">
        <v>476</v>
      </c>
      <c r="C225" s="117" t="s">
        <v>14</v>
      </c>
      <c r="D225" s="500">
        <v>35</v>
      </c>
      <c r="E225" s="40" t="s">
        <v>271</v>
      </c>
    </row>
    <row r="226" spans="1:5" ht="22.5">
      <c r="A226" s="143" t="s">
        <v>1754</v>
      </c>
      <c r="B226" s="1" t="s">
        <v>459</v>
      </c>
      <c r="C226" s="117" t="s">
        <v>15</v>
      </c>
      <c r="D226" s="500">
        <v>250</v>
      </c>
      <c r="E226" s="40" t="s">
        <v>271</v>
      </c>
    </row>
    <row r="227" spans="1:5" ht="22.5">
      <c r="A227" s="143" t="s">
        <v>1753</v>
      </c>
      <c r="B227" s="1" t="s">
        <v>460</v>
      </c>
      <c r="C227" s="117" t="s">
        <v>14</v>
      </c>
      <c r="D227" s="500">
        <v>5</v>
      </c>
      <c r="E227" s="40" t="s">
        <v>271</v>
      </c>
    </row>
    <row r="228" spans="1:5" ht="22.5">
      <c r="A228" s="143" t="s">
        <v>1752</v>
      </c>
      <c r="B228" s="1" t="s">
        <v>477</v>
      </c>
      <c r="C228" s="117" t="s">
        <v>14</v>
      </c>
      <c r="D228" s="500">
        <v>16</v>
      </c>
      <c r="E228" s="40" t="s">
        <v>271</v>
      </c>
    </row>
    <row r="229" spans="1:5" ht="22.5">
      <c r="A229" s="143" t="s">
        <v>1978</v>
      </c>
      <c r="B229" s="1" t="s">
        <v>478</v>
      </c>
      <c r="C229" s="117" t="s">
        <v>14</v>
      </c>
      <c r="D229" s="500">
        <v>16</v>
      </c>
      <c r="E229" s="40" t="s">
        <v>271</v>
      </c>
    </row>
    <row r="230" spans="1:5" ht="22.5">
      <c r="A230" s="143" t="s">
        <v>1751</v>
      </c>
      <c r="B230" s="1" t="s">
        <v>479</v>
      </c>
      <c r="C230" s="117" t="s">
        <v>14</v>
      </c>
      <c r="D230" s="500">
        <v>2</v>
      </c>
      <c r="E230" s="40" t="s">
        <v>271</v>
      </c>
    </row>
    <row r="231" spans="1:5" ht="135">
      <c r="A231" s="143" t="s">
        <v>1750</v>
      </c>
      <c r="B231" s="1" t="s">
        <v>495</v>
      </c>
      <c r="C231" s="117" t="s">
        <v>14</v>
      </c>
      <c r="D231" s="500">
        <v>1</v>
      </c>
      <c r="E231" s="40" t="s">
        <v>271</v>
      </c>
    </row>
    <row r="232" spans="1:5" ht="33.75">
      <c r="A232" s="143" t="s">
        <v>1749</v>
      </c>
      <c r="B232" s="1" t="s">
        <v>480</v>
      </c>
      <c r="C232" s="117" t="s">
        <v>14</v>
      </c>
      <c r="D232" s="500">
        <v>1</v>
      </c>
      <c r="E232" s="40" t="s">
        <v>271</v>
      </c>
    </row>
    <row r="233" spans="1:5" ht="33.75">
      <c r="A233" s="143" t="s">
        <v>1748</v>
      </c>
      <c r="B233" s="1" t="s">
        <v>481</v>
      </c>
      <c r="C233" s="117" t="s">
        <v>14</v>
      </c>
      <c r="D233" s="500">
        <v>20</v>
      </c>
      <c r="E233" s="40" t="s">
        <v>271</v>
      </c>
    </row>
    <row r="234" spans="1:5">
      <c r="A234" s="119"/>
      <c r="B234" s="112"/>
      <c r="C234" s="111"/>
      <c r="D234" s="496"/>
      <c r="E234" s="40"/>
    </row>
    <row r="235" spans="1:5">
      <c r="A235" s="113"/>
      <c r="B235" s="122"/>
      <c r="C235" s="138"/>
      <c r="D235" s="502"/>
      <c r="E235" s="139"/>
    </row>
    <row r="236" spans="1:5">
      <c r="A236" s="121" t="s">
        <v>1767</v>
      </c>
      <c r="B236" s="122" t="s">
        <v>2166</v>
      </c>
      <c r="C236" s="117"/>
      <c r="D236" s="496"/>
      <c r="E236" s="225"/>
    </row>
    <row r="237" spans="1:5">
      <c r="A237" s="143" t="s">
        <v>1766</v>
      </c>
      <c r="B237" s="1" t="s">
        <v>435</v>
      </c>
      <c r="C237" s="117" t="s">
        <v>16</v>
      </c>
      <c r="D237" s="496">
        <v>13</v>
      </c>
      <c r="E237" s="225" t="s">
        <v>271</v>
      </c>
    </row>
    <row r="238" spans="1:5">
      <c r="A238" s="143" t="s">
        <v>1768</v>
      </c>
      <c r="B238" s="1" t="s">
        <v>1544</v>
      </c>
      <c r="C238" s="117" t="s">
        <v>14</v>
      </c>
      <c r="D238" s="496">
        <v>10</v>
      </c>
      <c r="E238" s="225" t="s">
        <v>271</v>
      </c>
    </row>
    <row r="239" spans="1:5">
      <c r="A239" s="143" t="s">
        <v>1769</v>
      </c>
      <c r="B239" s="1" t="s">
        <v>1545</v>
      </c>
      <c r="C239" s="117" t="s">
        <v>14</v>
      </c>
      <c r="D239" s="496">
        <v>14</v>
      </c>
      <c r="E239" s="225" t="s">
        <v>271</v>
      </c>
    </row>
    <row r="240" spans="1:5" ht="22.5">
      <c r="A240" s="143" t="s">
        <v>1770</v>
      </c>
      <c r="B240" s="1" t="s">
        <v>1546</v>
      </c>
      <c r="C240" s="117" t="s">
        <v>15</v>
      </c>
      <c r="D240" s="496">
        <v>80</v>
      </c>
      <c r="E240" s="225" t="s">
        <v>271</v>
      </c>
    </row>
    <row r="241" spans="1:5" ht="22.5">
      <c r="A241" s="143" t="s">
        <v>1771</v>
      </c>
      <c r="B241" s="1" t="s">
        <v>1547</v>
      </c>
      <c r="C241" s="117" t="s">
        <v>15</v>
      </c>
      <c r="D241" s="496">
        <v>240</v>
      </c>
      <c r="E241" s="225" t="s">
        <v>271</v>
      </c>
    </row>
    <row r="242" spans="1:5" ht="22.5">
      <c r="A242" s="143" t="s">
        <v>1980</v>
      </c>
      <c r="B242" s="1" t="s">
        <v>1548</v>
      </c>
      <c r="C242" s="117" t="s">
        <v>15</v>
      </c>
      <c r="D242" s="496">
        <v>80</v>
      </c>
      <c r="E242" s="225" t="s">
        <v>271</v>
      </c>
    </row>
    <row r="243" spans="1:5" ht="22.5">
      <c r="A243" s="143" t="s">
        <v>1772</v>
      </c>
      <c r="B243" s="1" t="s">
        <v>1549</v>
      </c>
      <c r="C243" s="117" t="s">
        <v>15</v>
      </c>
      <c r="D243" s="496">
        <v>110</v>
      </c>
      <c r="E243" s="225" t="s">
        <v>271</v>
      </c>
    </row>
    <row r="244" spans="1:5" ht="22.5">
      <c r="A244" s="143" t="s">
        <v>1773</v>
      </c>
      <c r="B244" s="1" t="s">
        <v>1550</v>
      </c>
      <c r="C244" s="117" t="s">
        <v>15</v>
      </c>
      <c r="D244" s="496">
        <v>330</v>
      </c>
      <c r="E244" s="225" t="s">
        <v>271</v>
      </c>
    </row>
    <row r="245" spans="1:5" ht="22.5">
      <c r="A245" s="143" t="s">
        <v>1981</v>
      </c>
      <c r="B245" s="1" t="s">
        <v>1551</v>
      </c>
      <c r="C245" s="117" t="s">
        <v>15</v>
      </c>
      <c r="D245" s="496">
        <v>110</v>
      </c>
      <c r="E245" s="225" t="s">
        <v>271</v>
      </c>
    </row>
    <row r="246" spans="1:5" ht="56.25">
      <c r="A246" s="143" t="s">
        <v>1774</v>
      </c>
      <c r="B246" s="1" t="s">
        <v>839</v>
      </c>
      <c r="C246" s="117" t="s">
        <v>14</v>
      </c>
      <c r="D246" s="496">
        <v>3</v>
      </c>
      <c r="E246" s="225" t="s">
        <v>271</v>
      </c>
    </row>
    <row r="247" spans="1:5" ht="22.5">
      <c r="A247" s="143" t="s">
        <v>1775</v>
      </c>
      <c r="B247" s="1" t="s">
        <v>1525</v>
      </c>
      <c r="C247" s="117" t="s">
        <v>14</v>
      </c>
      <c r="D247" s="496">
        <v>15</v>
      </c>
      <c r="E247" s="225" t="s">
        <v>271</v>
      </c>
    </row>
    <row r="248" spans="1:5">
      <c r="A248" s="143" t="s">
        <v>1776</v>
      </c>
      <c r="B248" s="1" t="s">
        <v>1526</v>
      </c>
      <c r="C248" s="117" t="s">
        <v>14</v>
      </c>
      <c r="D248" s="496">
        <v>5</v>
      </c>
      <c r="E248" s="225" t="s">
        <v>271</v>
      </c>
    </row>
    <row r="249" spans="1:5">
      <c r="A249" s="143" t="s">
        <v>1777</v>
      </c>
      <c r="B249" s="1" t="s">
        <v>1527</v>
      </c>
      <c r="C249" s="117" t="s">
        <v>14</v>
      </c>
      <c r="D249" s="496">
        <v>2</v>
      </c>
      <c r="E249" s="225" t="s">
        <v>271</v>
      </c>
    </row>
    <row r="250" spans="1:5" ht="22.5">
      <c r="A250" s="143" t="s">
        <v>1778</v>
      </c>
      <c r="B250" s="1" t="s">
        <v>1552</v>
      </c>
      <c r="C250" s="117" t="s">
        <v>14</v>
      </c>
      <c r="D250" s="496">
        <v>2</v>
      </c>
      <c r="E250" s="225" t="s">
        <v>271</v>
      </c>
    </row>
    <row r="251" spans="1:5" ht="22.5">
      <c r="A251" s="143" t="s">
        <v>1779</v>
      </c>
      <c r="B251" s="1" t="s">
        <v>1553</v>
      </c>
      <c r="C251" s="117" t="s">
        <v>14</v>
      </c>
      <c r="D251" s="496">
        <v>2</v>
      </c>
      <c r="E251" s="225" t="s">
        <v>271</v>
      </c>
    </row>
    <row r="252" spans="1:5" ht="45">
      <c r="A252" s="143" t="s">
        <v>1780</v>
      </c>
      <c r="B252" s="1" t="s">
        <v>1542</v>
      </c>
      <c r="C252" s="117" t="s">
        <v>15</v>
      </c>
      <c r="D252" s="496">
        <v>100</v>
      </c>
      <c r="E252" s="225" t="s">
        <v>271</v>
      </c>
    </row>
    <row r="253" spans="1:5" ht="22.5">
      <c r="A253" s="143" t="s">
        <v>1781</v>
      </c>
      <c r="B253" s="1" t="s">
        <v>1554</v>
      </c>
      <c r="C253" s="117" t="s">
        <v>15</v>
      </c>
      <c r="D253" s="496">
        <v>120</v>
      </c>
      <c r="E253" s="225" t="s">
        <v>271</v>
      </c>
    </row>
    <row r="254" spans="1:5">
      <c r="A254" s="143" t="s">
        <v>1782</v>
      </c>
      <c r="B254" s="1" t="s">
        <v>1555</v>
      </c>
      <c r="C254" s="117" t="s">
        <v>97</v>
      </c>
      <c r="D254" s="496">
        <v>50</v>
      </c>
      <c r="E254" s="225" t="s">
        <v>271</v>
      </c>
    </row>
    <row r="255" spans="1:5">
      <c r="A255" s="143"/>
      <c r="B255" s="1"/>
      <c r="C255" s="117"/>
      <c r="D255" s="496"/>
      <c r="E255" s="225"/>
    </row>
    <row r="256" spans="1:5">
      <c r="A256" s="113"/>
      <c r="B256" s="122"/>
      <c r="C256" s="138"/>
      <c r="D256" s="502"/>
      <c r="E256" s="139"/>
    </row>
    <row r="257" spans="1:5">
      <c r="A257" s="137" t="s">
        <v>1933</v>
      </c>
      <c r="B257" s="122" t="s">
        <v>26</v>
      </c>
      <c r="C257" s="113"/>
      <c r="D257" s="496"/>
      <c r="E257" s="40"/>
    </row>
    <row r="258" spans="1:5">
      <c r="A258" s="121" t="s">
        <v>1784</v>
      </c>
      <c r="B258" s="122" t="s">
        <v>31</v>
      </c>
      <c r="C258" s="111"/>
      <c r="D258" s="496"/>
      <c r="E258" s="40"/>
    </row>
    <row r="259" spans="1:5">
      <c r="A259" s="120" t="s">
        <v>1785</v>
      </c>
      <c r="B259" s="112" t="s">
        <v>32</v>
      </c>
      <c r="C259" s="111" t="s">
        <v>14</v>
      </c>
      <c r="D259" s="496">
        <v>18</v>
      </c>
      <c r="E259" s="40" t="s">
        <v>271</v>
      </c>
    </row>
    <row r="260" spans="1:5">
      <c r="A260" s="120" t="s">
        <v>1984</v>
      </c>
      <c r="B260" s="1" t="s">
        <v>33</v>
      </c>
      <c r="C260" s="111" t="s">
        <v>14</v>
      </c>
      <c r="D260" s="496">
        <v>2</v>
      </c>
      <c r="E260" s="40" t="s">
        <v>271</v>
      </c>
    </row>
    <row r="261" spans="1:5" ht="22.5">
      <c r="A261" s="120" t="s">
        <v>1787</v>
      </c>
      <c r="B261" s="112" t="s">
        <v>34</v>
      </c>
      <c r="C261" s="111" t="s">
        <v>14</v>
      </c>
      <c r="D261" s="496">
        <v>8</v>
      </c>
      <c r="E261" s="40" t="s">
        <v>271</v>
      </c>
    </row>
    <row r="262" spans="1:5" ht="22.5">
      <c r="A262" s="120" t="s">
        <v>1788</v>
      </c>
      <c r="B262" s="1" t="s">
        <v>405</v>
      </c>
      <c r="C262" s="111" t="s">
        <v>14</v>
      </c>
      <c r="D262" s="496">
        <v>8</v>
      </c>
      <c r="E262" s="40" t="s">
        <v>271</v>
      </c>
    </row>
    <row r="263" spans="1:5" ht="22.5">
      <c r="A263" s="120" t="s">
        <v>1789</v>
      </c>
      <c r="B263" s="1" t="s">
        <v>753</v>
      </c>
      <c r="C263" s="111" t="s">
        <v>14</v>
      </c>
      <c r="D263" s="496">
        <v>17</v>
      </c>
      <c r="E263" s="40" t="s">
        <v>271</v>
      </c>
    </row>
    <row r="264" spans="1:5" ht="22.5">
      <c r="A264" s="120" t="s">
        <v>1790</v>
      </c>
      <c r="B264" s="1" t="s">
        <v>272</v>
      </c>
      <c r="C264" s="111" t="s">
        <v>14</v>
      </c>
      <c r="D264" s="496">
        <v>6</v>
      </c>
      <c r="E264" s="40" t="s">
        <v>271</v>
      </c>
    </row>
    <row r="265" spans="1:5" ht="22.5">
      <c r="A265" s="120" t="s">
        <v>1791</v>
      </c>
      <c r="B265" s="1" t="s">
        <v>55</v>
      </c>
      <c r="C265" s="111" t="s">
        <v>14</v>
      </c>
      <c r="D265" s="496">
        <v>4</v>
      </c>
      <c r="E265" s="40" t="s">
        <v>271</v>
      </c>
    </row>
    <row r="266" spans="1:5" ht="22.5">
      <c r="A266" s="120" t="s">
        <v>1792</v>
      </c>
      <c r="B266" s="1" t="s">
        <v>54</v>
      </c>
      <c r="C266" s="111" t="s">
        <v>14</v>
      </c>
      <c r="D266" s="496">
        <v>1</v>
      </c>
      <c r="E266" s="40" t="s">
        <v>271</v>
      </c>
    </row>
    <row r="267" spans="1:5" ht="22.5">
      <c r="A267" s="120" t="s">
        <v>1793</v>
      </c>
      <c r="B267" s="1" t="s">
        <v>273</v>
      </c>
      <c r="C267" s="111" t="s">
        <v>14</v>
      </c>
      <c r="D267" s="496">
        <v>1</v>
      </c>
      <c r="E267" s="40" t="s">
        <v>271</v>
      </c>
    </row>
    <row r="268" spans="1:5" ht="22.5">
      <c r="A268" s="120" t="s">
        <v>1794</v>
      </c>
      <c r="B268" s="1" t="s">
        <v>274</v>
      </c>
      <c r="C268" s="111" t="s">
        <v>14</v>
      </c>
      <c r="D268" s="496">
        <v>7</v>
      </c>
      <c r="E268" s="40" t="s">
        <v>271</v>
      </c>
    </row>
    <row r="269" spans="1:5" ht="22.5">
      <c r="A269" s="120" t="s">
        <v>1795</v>
      </c>
      <c r="B269" s="1" t="s">
        <v>56</v>
      </c>
      <c r="C269" s="111" t="s">
        <v>14</v>
      </c>
      <c r="D269" s="496">
        <v>3</v>
      </c>
      <c r="E269" s="40" t="s">
        <v>271</v>
      </c>
    </row>
    <row r="270" spans="1:5" ht="22.5">
      <c r="A270" s="120" t="s">
        <v>1796</v>
      </c>
      <c r="B270" s="1" t="s">
        <v>275</v>
      </c>
      <c r="C270" s="111" t="s">
        <v>14</v>
      </c>
      <c r="D270" s="496">
        <v>5</v>
      </c>
      <c r="E270" s="40" t="s">
        <v>271</v>
      </c>
    </row>
    <row r="271" spans="1:5" ht="22.5">
      <c r="A271" s="120" t="s">
        <v>1797</v>
      </c>
      <c r="B271" s="1" t="s">
        <v>276</v>
      </c>
      <c r="C271" s="111" t="s">
        <v>14</v>
      </c>
      <c r="D271" s="496">
        <v>1</v>
      </c>
      <c r="E271" s="40" t="s">
        <v>271</v>
      </c>
    </row>
    <row r="272" spans="1:5" ht="22.5">
      <c r="A272" s="120" t="s">
        <v>1798</v>
      </c>
      <c r="B272" s="1" t="s">
        <v>57</v>
      </c>
      <c r="C272" s="111" t="s">
        <v>14</v>
      </c>
      <c r="D272" s="496">
        <v>4</v>
      </c>
      <c r="E272" s="40" t="s">
        <v>271</v>
      </c>
    </row>
    <row r="273" spans="1:6" ht="22.5">
      <c r="A273" s="120" t="s">
        <v>1799</v>
      </c>
      <c r="B273" s="1" t="s">
        <v>277</v>
      </c>
      <c r="C273" s="111" t="s">
        <v>14</v>
      </c>
      <c r="D273" s="496">
        <v>2</v>
      </c>
      <c r="E273" s="40" t="s">
        <v>271</v>
      </c>
    </row>
    <row r="274" spans="1:6" ht="22.5">
      <c r="A274" s="120" t="s">
        <v>1800</v>
      </c>
      <c r="B274" s="1" t="s">
        <v>278</v>
      </c>
      <c r="C274" s="111" t="s">
        <v>14</v>
      </c>
      <c r="D274" s="496">
        <v>1</v>
      </c>
      <c r="E274" s="40" t="s">
        <v>271</v>
      </c>
    </row>
    <row r="275" spans="1:6">
      <c r="A275" s="120" t="s">
        <v>1801</v>
      </c>
      <c r="B275" s="1" t="s">
        <v>279</v>
      </c>
      <c r="C275" s="111" t="s">
        <v>14</v>
      </c>
      <c r="D275" s="496">
        <v>1</v>
      </c>
      <c r="E275" s="40" t="s">
        <v>271</v>
      </c>
    </row>
    <row r="276" spans="1:6">
      <c r="A276" s="120" t="s">
        <v>1802</v>
      </c>
      <c r="B276" s="1" t="s">
        <v>40</v>
      </c>
      <c r="C276" s="111" t="s">
        <v>14</v>
      </c>
      <c r="D276" s="496">
        <v>22</v>
      </c>
      <c r="E276" s="40" t="s">
        <v>271</v>
      </c>
    </row>
    <row r="277" spans="1:6">
      <c r="A277" s="120" t="s">
        <v>1718</v>
      </c>
      <c r="B277" s="1" t="s">
        <v>41</v>
      </c>
      <c r="C277" s="111" t="s">
        <v>14</v>
      </c>
      <c r="D277" s="496">
        <v>7</v>
      </c>
      <c r="E277" s="40" t="s">
        <v>271</v>
      </c>
    </row>
    <row r="278" spans="1:6">
      <c r="A278" s="120" t="s">
        <v>1803</v>
      </c>
      <c r="B278" s="1" t="s">
        <v>42</v>
      </c>
      <c r="C278" s="111" t="s">
        <v>14</v>
      </c>
      <c r="D278" s="496">
        <v>16</v>
      </c>
      <c r="E278" s="40" t="s">
        <v>271</v>
      </c>
    </row>
    <row r="279" spans="1:6">
      <c r="A279" s="120" t="s">
        <v>1804</v>
      </c>
      <c r="B279" s="1" t="s">
        <v>43</v>
      </c>
      <c r="C279" s="111" t="s">
        <v>14</v>
      </c>
      <c r="D279" s="496">
        <v>3</v>
      </c>
      <c r="E279" s="40" t="s">
        <v>271</v>
      </c>
    </row>
    <row r="280" spans="1:6">
      <c r="A280" s="120" t="s">
        <v>1805</v>
      </c>
      <c r="B280" s="1" t="s">
        <v>280</v>
      </c>
      <c r="C280" s="111" t="s">
        <v>14</v>
      </c>
      <c r="D280" s="496">
        <v>5</v>
      </c>
      <c r="E280" s="40" t="s">
        <v>271</v>
      </c>
    </row>
    <row r="281" spans="1:6">
      <c r="A281" s="120" t="s">
        <v>1806</v>
      </c>
      <c r="B281" s="1" t="s">
        <v>281</v>
      </c>
      <c r="C281" s="111" t="s">
        <v>14</v>
      </c>
      <c r="D281" s="496">
        <v>1</v>
      </c>
      <c r="E281" s="40" t="s">
        <v>271</v>
      </c>
    </row>
    <row r="282" spans="1:6" ht="22.5">
      <c r="A282" s="120" t="s">
        <v>1807</v>
      </c>
      <c r="B282" s="1" t="s">
        <v>44</v>
      </c>
      <c r="C282" s="111" t="s">
        <v>14</v>
      </c>
      <c r="D282" s="496">
        <v>34</v>
      </c>
      <c r="E282" s="40" t="s">
        <v>271</v>
      </c>
    </row>
    <row r="283" spans="1:6" ht="22.5">
      <c r="A283" s="120" t="s">
        <v>1808</v>
      </c>
      <c r="B283" s="1" t="s">
        <v>45</v>
      </c>
      <c r="C283" s="111" t="s">
        <v>14</v>
      </c>
      <c r="D283" s="496">
        <v>23</v>
      </c>
      <c r="E283" s="40" t="s">
        <v>271</v>
      </c>
    </row>
    <row r="284" spans="1:6">
      <c r="A284" s="120" t="s">
        <v>1809</v>
      </c>
      <c r="B284" s="1" t="s">
        <v>35</v>
      </c>
      <c r="C284" s="111" t="s">
        <v>15</v>
      </c>
      <c r="D284" s="496">
        <v>60.25</v>
      </c>
      <c r="E284" s="40" t="s">
        <v>271</v>
      </c>
    </row>
    <row r="285" spans="1:6">
      <c r="A285" s="120" t="s">
        <v>1810</v>
      </c>
      <c r="B285" s="1" t="s">
        <v>36</v>
      </c>
      <c r="C285" s="111" t="s">
        <v>15</v>
      </c>
      <c r="D285" s="496">
        <v>33.01</v>
      </c>
      <c r="E285" s="40" t="s">
        <v>271</v>
      </c>
      <c r="F285" s="229"/>
    </row>
    <row r="286" spans="1:6">
      <c r="A286" s="120" t="s">
        <v>1811</v>
      </c>
      <c r="B286" s="1" t="s">
        <v>284</v>
      </c>
      <c r="C286" s="111" t="s">
        <v>15</v>
      </c>
      <c r="D286" s="496">
        <v>5.98</v>
      </c>
      <c r="E286" s="40" t="s">
        <v>271</v>
      </c>
      <c r="F286" s="229"/>
    </row>
    <row r="287" spans="1:6">
      <c r="A287" s="120" t="s">
        <v>1812</v>
      </c>
      <c r="B287" s="1" t="s">
        <v>37</v>
      </c>
      <c r="C287" s="111" t="s">
        <v>15</v>
      </c>
      <c r="D287" s="496">
        <v>62.19</v>
      </c>
      <c r="E287" s="40" t="s">
        <v>271</v>
      </c>
      <c r="F287" s="229"/>
    </row>
    <row r="288" spans="1:6">
      <c r="A288" s="120" t="s">
        <v>1813</v>
      </c>
      <c r="B288" s="1" t="s">
        <v>38</v>
      </c>
      <c r="C288" s="111" t="s">
        <v>15</v>
      </c>
      <c r="D288" s="496">
        <v>2.14</v>
      </c>
      <c r="E288" s="40" t="s">
        <v>271</v>
      </c>
      <c r="F288" s="229"/>
    </row>
    <row r="289" spans="1:5">
      <c r="A289" s="120" t="s">
        <v>1814</v>
      </c>
      <c r="B289" s="1" t="s">
        <v>39</v>
      </c>
      <c r="C289" s="111" t="s">
        <v>15</v>
      </c>
      <c r="D289" s="496">
        <v>5.8</v>
      </c>
      <c r="E289" s="40" t="s">
        <v>271</v>
      </c>
    </row>
    <row r="290" spans="1:5">
      <c r="A290" s="120" t="s">
        <v>1815</v>
      </c>
      <c r="B290" s="1" t="s">
        <v>282</v>
      </c>
      <c r="C290" s="111" t="s">
        <v>15</v>
      </c>
      <c r="D290" s="496">
        <v>22.06</v>
      </c>
      <c r="E290" s="40" t="s">
        <v>271</v>
      </c>
    </row>
    <row r="291" spans="1:5">
      <c r="A291" s="120" t="s">
        <v>1816</v>
      </c>
      <c r="B291" s="1" t="s">
        <v>283</v>
      </c>
      <c r="C291" s="111" t="s">
        <v>15</v>
      </c>
      <c r="D291" s="496">
        <v>89.06</v>
      </c>
      <c r="E291" s="40" t="s">
        <v>271</v>
      </c>
    </row>
    <row r="292" spans="1:5" s="123" customFormat="1">
      <c r="A292" s="120" t="s">
        <v>1817</v>
      </c>
      <c r="B292" s="1" t="s">
        <v>48</v>
      </c>
      <c r="C292" s="111" t="s">
        <v>14</v>
      </c>
      <c r="D292" s="496">
        <v>6</v>
      </c>
      <c r="E292" s="40" t="s">
        <v>271</v>
      </c>
    </row>
    <row r="293" spans="1:5">
      <c r="A293" s="120" t="s">
        <v>1818</v>
      </c>
      <c r="B293" s="1" t="s">
        <v>49</v>
      </c>
      <c r="C293" s="111" t="s">
        <v>14</v>
      </c>
      <c r="D293" s="496">
        <v>4</v>
      </c>
      <c r="E293" s="40" t="s">
        <v>271</v>
      </c>
    </row>
    <row r="294" spans="1:5">
      <c r="A294" s="120" t="s">
        <v>1819</v>
      </c>
      <c r="B294" s="1" t="s">
        <v>285</v>
      </c>
      <c r="C294" s="111" t="s">
        <v>14</v>
      </c>
      <c r="D294" s="496">
        <v>1</v>
      </c>
      <c r="E294" s="40" t="s">
        <v>271</v>
      </c>
    </row>
    <row r="295" spans="1:5">
      <c r="A295" s="120" t="s">
        <v>1820</v>
      </c>
      <c r="B295" s="1" t="s">
        <v>50</v>
      </c>
      <c r="C295" s="111" t="s">
        <v>14</v>
      </c>
      <c r="D295" s="496">
        <v>2</v>
      </c>
      <c r="E295" s="40" t="s">
        <v>271</v>
      </c>
    </row>
    <row r="296" spans="1:5">
      <c r="A296" s="120" t="s">
        <v>1821</v>
      </c>
      <c r="B296" s="1" t="s">
        <v>51</v>
      </c>
      <c r="C296" s="111" t="s">
        <v>14</v>
      </c>
      <c r="D296" s="496">
        <v>2</v>
      </c>
      <c r="E296" s="40" t="s">
        <v>271</v>
      </c>
    </row>
    <row r="297" spans="1:5">
      <c r="A297" s="120" t="s">
        <v>1822</v>
      </c>
      <c r="B297" s="1" t="s">
        <v>52</v>
      </c>
      <c r="C297" s="111" t="s">
        <v>14</v>
      </c>
      <c r="D297" s="496">
        <v>1</v>
      </c>
      <c r="E297" s="40" t="s">
        <v>271</v>
      </c>
    </row>
    <row r="298" spans="1:5">
      <c r="A298" s="120" t="s">
        <v>1823</v>
      </c>
      <c r="B298" s="1" t="s">
        <v>286</v>
      </c>
      <c r="C298" s="111" t="s">
        <v>14</v>
      </c>
      <c r="D298" s="496">
        <v>2</v>
      </c>
      <c r="E298" s="40" t="s">
        <v>271</v>
      </c>
    </row>
    <row r="299" spans="1:5">
      <c r="A299" s="120" t="s">
        <v>1824</v>
      </c>
      <c r="B299" s="1" t="s">
        <v>287</v>
      </c>
      <c r="C299" s="111" t="s">
        <v>14</v>
      </c>
      <c r="D299" s="496">
        <v>1</v>
      </c>
      <c r="E299" s="40" t="s">
        <v>271</v>
      </c>
    </row>
    <row r="300" spans="1:5" ht="22.5">
      <c r="A300" s="120" t="s">
        <v>1825</v>
      </c>
      <c r="B300" s="1" t="s">
        <v>53</v>
      </c>
      <c r="C300" s="111" t="s">
        <v>14</v>
      </c>
      <c r="D300" s="496">
        <v>22</v>
      </c>
      <c r="E300" s="40" t="s">
        <v>271</v>
      </c>
    </row>
    <row r="301" spans="1:5" ht="22.5">
      <c r="A301" s="120" t="s">
        <v>1826</v>
      </c>
      <c r="B301" s="1" t="s">
        <v>288</v>
      </c>
      <c r="C301" s="111" t="s">
        <v>14</v>
      </c>
      <c r="D301" s="496">
        <v>6</v>
      </c>
      <c r="E301" s="40" t="s">
        <v>271</v>
      </c>
    </row>
    <row r="302" spans="1:5" ht="22.5">
      <c r="A302" s="120" t="s">
        <v>1827</v>
      </c>
      <c r="B302" s="1" t="s">
        <v>289</v>
      </c>
      <c r="C302" s="111" t="s">
        <v>14</v>
      </c>
      <c r="D302" s="496">
        <v>17</v>
      </c>
      <c r="E302" s="40" t="s">
        <v>271</v>
      </c>
    </row>
    <row r="303" spans="1:5" ht="22.5">
      <c r="A303" s="120" t="s">
        <v>1828</v>
      </c>
      <c r="B303" s="1" t="s">
        <v>290</v>
      </c>
      <c r="C303" s="111" t="s">
        <v>14</v>
      </c>
      <c r="D303" s="496">
        <v>2</v>
      </c>
      <c r="E303" s="40" t="s">
        <v>271</v>
      </c>
    </row>
    <row r="304" spans="1:5" ht="22.5">
      <c r="A304" s="120" t="s">
        <v>1829</v>
      </c>
      <c r="B304" s="1" t="s">
        <v>291</v>
      </c>
      <c r="C304" s="111" t="s">
        <v>14</v>
      </c>
      <c r="D304" s="496">
        <v>4</v>
      </c>
      <c r="E304" s="40" t="s">
        <v>271</v>
      </c>
    </row>
    <row r="305" spans="1:5" ht="22.5">
      <c r="A305" s="120" t="s">
        <v>1830</v>
      </c>
      <c r="B305" s="1" t="s">
        <v>1353</v>
      </c>
      <c r="C305" s="226" t="s">
        <v>14</v>
      </c>
      <c r="D305" s="496">
        <v>2</v>
      </c>
      <c r="E305" s="225" t="s">
        <v>271</v>
      </c>
    </row>
    <row r="306" spans="1:5" ht="22.5">
      <c r="A306" s="120" t="s">
        <v>1831</v>
      </c>
      <c r="B306" s="1" t="s">
        <v>1356</v>
      </c>
      <c r="C306" s="226" t="s">
        <v>14</v>
      </c>
      <c r="D306" s="496">
        <v>1</v>
      </c>
      <c r="E306" s="225" t="s">
        <v>271</v>
      </c>
    </row>
    <row r="307" spans="1:5">
      <c r="A307" s="120" t="s">
        <v>1832</v>
      </c>
      <c r="B307" s="1" t="s">
        <v>1358</v>
      </c>
      <c r="C307" s="226" t="s">
        <v>14</v>
      </c>
      <c r="D307" s="496">
        <v>17</v>
      </c>
      <c r="E307" s="225" t="s">
        <v>271</v>
      </c>
    </row>
    <row r="308" spans="1:5" ht="22.5">
      <c r="A308" s="120" t="s">
        <v>1833</v>
      </c>
      <c r="B308" s="1" t="s">
        <v>1360</v>
      </c>
      <c r="C308" s="226" t="s">
        <v>14</v>
      </c>
      <c r="D308" s="496">
        <v>18</v>
      </c>
      <c r="E308" s="225" t="s">
        <v>271</v>
      </c>
    </row>
    <row r="309" spans="1:5">
      <c r="A309" s="119"/>
      <c r="B309" s="112"/>
      <c r="C309" s="111"/>
      <c r="D309" s="496"/>
      <c r="E309" s="40"/>
    </row>
    <row r="310" spans="1:5">
      <c r="A310" s="120"/>
      <c r="B310" s="1"/>
      <c r="C310" s="111"/>
      <c r="D310" s="496"/>
      <c r="E310" s="40"/>
    </row>
    <row r="311" spans="1:5">
      <c r="A311" s="121" t="s">
        <v>1834</v>
      </c>
      <c r="B311" s="122" t="s">
        <v>58</v>
      </c>
      <c r="C311" s="111"/>
      <c r="D311" s="496"/>
      <c r="E311" s="40"/>
    </row>
    <row r="312" spans="1:5" ht="22.5">
      <c r="A312" s="120" t="s">
        <v>1835</v>
      </c>
      <c r="B312" s="1" t="s">
        <v>292</v>
      </c>
      <c r="C312" s="111" t="s">
        <v>14</v>
      </c>
      <c r="D312" s="496">
        <v>8</v>
      </c>
      <c r="E312" s="40" t="s">
        <v>271</v>
      </c>
    </row>
    <row r="313" spans="1:5" ht="22.5">
      <c r="A313" s="120" t="s">
        <v>1836</v>
      </c>
      <c r="B313" s="112" t="s">
        <v>295</v>
      </c>
      <c r="C313" s="111" t="s">
        <v>14</v>
      </c>
      <c r="D313" s="496">
        <v>8</v>
      </c>
      <c r="E313" s="40" t="s">
        <v>271</v>
      </c>
    </row>
    <row r="314" spans="1:5" ht="22.5">
      <c r="A314" s="120" t="s">
        <v>1786</v>
      </c>
      <c r="B314" s="112" t="s">
        <v>293</v>
      </c>
      <c r="C314" s="111" t="s">
        <v>14</v>
      </c>
      <c r="D314" s="496">
        <v>8</v>
      </c>
      <c r="E314" s="40" t="s">
        <v>271</v>
      </c>
    </row>
    <row r="315" spans="1:5" ht="22.5">
      <c r="A315" s="120" t="s">
        <v>1837</v>
      </c>
      <c r="B315" s="112" t="s">
        <v>294</v>
      </c>
      <c r="C315" s="111" t="s">
        <v>14</v>
      </c>
      <c r="D315" s="496">
        <v>18</v>
      </c>
      <c r="E315" s="40" t="s">
        <v>271</v>
      </c>
    </row>
    <row r="316" spans="1:5">
      <c r="A316" s="120" t="s">
        <v>1838</v>
      </c>
      <c r="B316" s="1" t="s">
        <v>63</v>
      </c>
      <c r="C316" s="111" t="s">
        <v>14</v>
      </c>
      <c r="D316" s="496">
        <v>52</v>
      </c>
      <c r="E316" s="40" t="s">
        <v>271</v>
      </c>
    </row>
    <row r="317" spans="1:5">
      <c r="A317" s="120" t="s">
        <v>1839</v>
      </c>
      <c r="B317" s="1" t="s">
        <v>64</v>
      </c>
      <c r="C317" s="111" t="s">
        <v>14</v>
      </c>
      <c r="D317" s="496">
        <v>5</v>
      </c>
      <c r="E317" s="40" t="s">
        <v>271</v>
      </c>
    </row>
    <row r="318" spans="1:5" ht="22.5">
      <c r="A318" s="120" t="s">
        <v>1840</v>
      </c>
      <c r="B318" s="1" t="s">
        <v>296</v>
      </c>
      <c r="C318" s="111" t="s">
        <v>14</v>
      </c>
      <c r="D318" s="496">
        <v>3</v>
      </c>
      <c r="E318" s="40" t="s">
        <v>271</v>
      </c>
    </row>
    <row r="319" spans="1:5" ht="22.5">
      <c r="A319" s="120" t="s">
        <v>1841</v>
      </c>
      <c r="B319" s="1" t="s">
        <v>297</v>
      </c>
      <c r="C319" s="111" t="s">
        <v>14</v>
      </c>
      <c r="D319" s="496">
        <v>2</v>
      </c>
      <c r="E319" s="40" t="s">
        <v>271</v>
      </c>
    </row>
    <row r="320" spans="1:5">
      <c r="A320" s="120" t="s">
        <v>1842</v>
      </c>
      <c r="B320" s="1" t="s">
        <v>65</v>
      </c>
      <c r="C320" s="111" t="s">
        <v>14</v>
      </c>
      <c r="D320" s="496">
        <v>44</v>
      </c>
      <c r="E320" s="40" t="s">
        <v>271</v>
      </c>
    </row>
    <row r="321" spans="1:5">
      <c r="A321" s="120" t="s">
        <v>1843</v>
      </c>
      <c r="B321" s="1" t="s">
        <v>66</v>
      </c>
      <c r="C321" s="111" t="s">
        <v>14</v>
      </c>
      <c r="D321" s="496">
        <v>14</v>
      </c>
      <c r="E321" s="40" t="s">
        <v>271</v>
      </c>
    </row>
    <row r="322" spans="1:5">
      <c r="A322" s="120" t="s">
        <v>1844</v>
      </c>
      <c r="B322" s="1" t="s">
        <v>67</v>
      </c>
      <c r="C322" s="111" t="s">
        <v>14</v>
      </c>
      <c r="D322" s="496">
        <v>21</v>
      </c>
      <c r="E322" s="40" t="s">
        <v>271</v>
      </c>
    </row>
    <row r="323" spans="1:5">
      <c r="A323" s="120" t="s">
        <v>1845</v>
      </c>
      <c r="B323" s="1" t="s">
        <v>68</v>
      </c>
      <c r="C323" s="111" t="s">
        <v>14</v>
      </c>
      <c r="D323" s="496">
        <v>2</v>
      </c>
      <c r="E323" s="40" t="s">
        <v>271</v>
      </c>
    </row>
    <row r="324" spans="1:5">
      <c r="A324" s="120" t="s">
        <v>1846</v>
      </c>
      <c r="B324" s="1" t="s">
        <v>69</v>
      </c>
      <c r="C324" s="111" t="s">
        <v>14</v>
      </c>
      <c r="D324" s="496">
        <v>11</v>
      </c>
      <c r="E324" s="40" t="s">
        <v>271</v>
      </c>
    </row>
    <row r="325" spans="1:5">
      <c r="A325" s="120" t="s">
        <v>1847</v>
      </c>
      <c r="B325" s="1" t="s">
        <v>70</v>
      </c>
      <c r="C325" s="111" t="s">
        <v>14</v>
      </c>
      <c r="D325" s="496">
        <v>17</v>
      </c>
      <c r="E325" s="40" t="s">
        <v>271</v>
      </c>
    </row>
    <row r="326" spans="1:5" ht="22.5">
      <c r="A326" s="120" t="s">
        <v>1848</v>
      </c>
      <c r="B326" s="1" t="s">
        <v>298</v>
      </c>
      <c r="C326" s="111" t="s">
        <v>14</v>
      </c>
      <c r="D326" s="496">
        <v>16</v>
      </c>
      <c r="E326" s="40" t="s">
        <v>271</v>
      </c>
    </row>
    <row r="327" spans="1:5" ht="22.5">
      <c r="A327" s="120" t="s">
        <v>1849</v>
      </c>
      <c r="B327" s="1" t="s">
        <v>71</v>
      </c>
      <c r="C327" s="111" t="s">
        <v>14</v>
      </c>
      <c r="D327" s="496">
        <v>34</v>
      </c>
      <c r="E327" s="40" t="s">
        <v>271</v>
      </c>
    </row>
    <row r="328" spans="1:5">
      <c r="A328" s="120" t="s">
        <v>1850</v>
      </c>
      <c r="B328" s="1" t="s">
        <v>72</v>
      </c>
      <c r="C328" s="226" t="s">
        <v>14</v>
      </c>
      <c r="D328" s="496">
        <v>2</v>
      </c>
      <c r="E328" s="225" t="s">
        <v>271</v>
      </c>
    </row>
    <row r="329" spans="1:5">
      <c r="A329" s="120" t="s">
        <v>1851</v>
      </c>
      <c r="B329" s="1" t="s">
        <v>73</v>
      </c>
      <c r="C329" s="226" t="s">
        <v>14</v>
      </c>
      <c r="D329" s="496">
        <v>14</v>
      </c>
      <c r="E329" s="225" t="s">
        <v>271</v>
      </c>
    </row>
    <row r="330" spans="1:5">
      <c r="A330" s="120" t="s">
        <v>1852</v>
      </c>
      <c r="B330" s="1" t="s">
        <v>74</v>
      </c>
      <c r="C330" s="226" t="s">
        <v>14</v>
      </c>
      <c r="D330" s="496">
        <v>4</v>
      </c>
      <c r="E330" s="225" t="s">
        <v>271</v>
      </c>
    </row>
    <row r="331" spans="1:5">
      <c r="A331" s="120" t="s">
        <v>1853</v>
      </c>
      <c r="B331" s="1" t="s">
        <v>75</v>
      </c>
      <c r="C331" s="226" t="s">
        <v>14</v>
      </c>
      <c r="D331" s="496">
        <v>5</v>
      </c>
      <c r="E331" s="225" t="s">
        <v>271</v>
      </c>
    </row>
    <row r="332" spans="1:5">
      <c r="A332" s="120" t="s">
        <v>1854</v>
      </c>
      <c r="B332" s="1" t="s">
        <v>76</v>
      </c>
      <c r="C332" s="226" t="s">
        <v>14</v>
      </c>
      <c r="D332" s="496">
        <v>2</v>
      </c>
      <c r="E332" s="225" t="s">
        <v>271</v>
      </c>
    </row>
    <row r="333" spans="1:5">
      <c r="A333" s="120" t="s">
        <v>1855</v>
      </c>
      <c r="B333" s="1" t="s">
        <v>77</v>
      </c>
      <c r="C333" s="226" t="s">
        <v>14</v>
      </c>
      <c r="D333" s="496">
        <v>18</v>
      </c>
      <c r="E333" s="225" t="s">
        <v>271</v>
      </c>
    </row>
    <row r="334" spans="1:5">
      <c r="A334" s="120" t="s">
        <v>1856</v>
      </c>
      <c r="B334" s="1" t="s">
        <v>78</v>
      </c>
      <c r="C334" s="111" t="s">
        <v>14</v>
      </c>
      <c r="D334" s="496">
        <v>40</v>
      </c>
      <c r="E334" s="40" t="s">
        <v>271</v>
      </c>
    </row>
    <row r="335" spans="1:5">
      <c r="A335" s="120" t="s">
        <v>1857</v>
      </c>
      <c r="B335" s="1" t="s">
        <v>79</v>
      </c>
      <c r="C335" s="111" t="s">
        <v>14</v>
      </c>
      <c r="D335" s="496">
        <v>40</v>
      </c>
      <c r="E335" s="40" t="s">
        <v>271</v>
      </c>
    </row>
    <row r="336" spans="1:5">
      <c r="A336" s="120" t="s">
        <v>1858</v>
      </c>
      <c r="B336" s="1" t="s">
        <v>80</v>
      </c>
      <c r="C336" s="111" t="s">
        <v>14</v>
      </c>
      <c r="D336" s="496">
        <v>7</v>
      </c>
      <c r="E336" s="40" t="s">
        <v>271</v>
      </c>
    </row>
    <row r="337" spans="1:5">
      <c r="A337" s="120" t="s">
        <v>1859</v>
      </c>
      <c r="B337" s="1" t="s">
        <v>81</v>
      </c>
      <c r="C337" s="111" t="s">
        <v>14</v>
      </c>
      <c r="D337" s="496">
        <v>2</v>
      </c>
      <c r="E337" s="40" t="s">
        <v>271</v>
      </c>
    </row>
    <row r="338" spans="1:5">
      <c r="A338" s="120" t="s">
        <v>1860</v>
      </c>
      <c r="B338" s="1" t="s">
        <v>82</v>
      </c>
      <c r="C338" s="111" t="s">
        <v>14</v>
      </c>
      <c r="D338" s="496">
        <v>3</v>
      </c>
      <c r="E338" s="40" t="s">
        <v>271</v>
      </c>
    </row>
    <row r="339" spans="1:5">
      <c r="A339" s="120" t="s">
        <v>1861</v>
      </c>
      <c r="B339" s="1" t="s">
        <v>83</v>
      </c>
      <c r="C339" s="111" t="s">
        <v>14</v>
      </c>
      <c r="D339" s="496">
        <v>5</v>
      </c>
      <c r="E339" s="40" t="s">
        <v>271</v>
      </c>
    </row>
    <row r="340" spans="1:5">
      <c r="A340" s="120" t="s">
        <v>1866</v>
      </c>
      <c r="B340" s="1" t="s">
        <v>84</v>
      </c>
      <c r="C340" s="111" t="s">
        <v>14</v>
      </c>
      <c r="D340" s="496">
        <v>14</v>
      </c>
      <c r="E340" s="40" t="s">
        <v>271</v>
      </c>
    </row>
    <row r="341" spans="1:5">
      <c r="A341" s="120" t="s">
        <v>1867</v>
      </c>
      <c r="B341" s="1" t="s">
        <v>85</v>
      </c>
      <c r="C341" s="111" t="s">
        <v>14</v>
      </c>
      <c r="D341" s="496">
        <v>3</v>
      </c>
      <c r="E341" s="40" t="s">
        <v>271</v>
      </c>
    </row>
    <row r="342" spans="1:5" ht="10.15" customHeight="1">
      <c r="A342" s="120" t="s">
        <v>1862</v>
      </c>
      <c r="B342" s="1" t="s">
        <v>59</v>
      </c>
      <c r="C342" s="111" t="s">
        <v>15</v>
      </c>
      <c r="D342" s="496">
        <v>70.11</v>
      </c>
      <c r="E342" s="40" t="s">
        <v>271</v>
      </c>
    </row>
    <row r="343" spans="1:5" ht="10.15" customHeight="1">
      <c r="A343" s="120" t="s">
        <v>1863</v>
      </c>
      <c r="B343" s="1" t="s">
        <v>60</v>
      </c>
      <c r="C343" s="111" t="s">
        <v>15</v>
      </c>
      <c r="D343" s="496">
        <v>27.94</v>
      </c>
      <c r="E343" s="40" t="s">
        <v>271</v>
      </c>
    </row>
    <row r="344" spans="1:5" ht="10.15" customHeight="1">
      <c r="A344" s="120" t="s">
        <v>1864</v>
      </c>
      <c r="B344" s="1" t="s">
        <v>61</v>
      </c>
      <c r="C344" s="111" t="s">
        <v>15</v>
      </c>
      <c r="D344" s="496">
        <v>41.12</v>
      </c>
      <c r="E344" s="40" t="s">
        <v>271</v>
      </c>
    </row>
    <row r="345" spans="1:5" ht="10.15" customHeight="1">
      <c r="A345" s="120" t="s">
        <v>1865</v>
      </c>
      <c r="B345" s="1" t="s">
        <v>62</v>
      </c>
      <c r="C345" s="111" t="s">
        <v>15</v>
      </c>
      <c r="D345" s="496">
        <v>49.15</v>
      </c>
      <c r="E345" s="40" t="s">
        <v>271</v>
      </c>
    </row>
    <row r="346" spans="1:5">
      <c r="A346" s="119"/>
      <c r="B346" s="112"/>
      <c r="C346" s="111"/>
      <c r="D346" s="501"/>
      <c r="E346" s="40"/>
    </row>
    <row r="347" spans="1:5">
      <c r="A347" s="119"/>
      <c r="B347" s="112"/>
      <c r="C347" s="111"/>
      <c r="D347" s="501"/>
      <c r="E347" s="40"/>
    </row>
    <row r="348" spans="1:5">
      <c r="A348" s="121" t="s">
        <v>1868</v>
      </c>
      <c r="B348" s="122" t="s">
        <v>27</v>
      </c>
      <c r="C348" s="138"/>
      <c r="D348" s="496"/>
      <c r="E348" s="40"/>
    </row>
    <row r="349" spans="1:5" ht="22.5">
      <c r="A349" s="226" t="s">
        <v>1869</v>
      </c>
      <c r="B349" s="1" t="s">
        <v>1396</v>
      </c>
      <c r="C349" s="226" t="s">
        <v>14</v>
      </c>
      <c r="D349" s="496">
        <v>15</v>
      </c>
      <c r="E349" s="225" t="s">
        <v>271</v>
      </c>
    </row>
    <row r="350" spans="1:5">
      <c r="A350" s="226" t="s">
        <v>1870</v>
      </c>
      <c r="B350" s="1" t="s">
        <v>2022</v>
      </c>
      <c r="C350" s="226" t="s">
        <v>14</v>
      </c>
      <c r="D350" s="496">
        <v>2</v>
      </c>
      <c r="E350" s="225" t="s">
        <v>271</v>
      </c>
    </row>
    <row r="351" spans="1:5" ht="22.5">
      <c r="A351" s="226" t="s">
        <v>1871</v>
      </c>
      <c r="B351" s="1" t="s">
        <v>1348</v>
      </c>
      <c r="C351" s="226" t="s">
        <v>14</v>
      </c>
      <c r="D351" s="496">
        <v>17</v>
      </c>
      <c r="E351" s="225" t="s">
        <v>271</v>
      </c>
    </row>
    <row r="352" spans="1:5">
      <c r="A352" s="226" t="s">
        <v>1872</v>
      </c>
      <c r="B352" s="1" t="s">
        <v>1361</v>
      </c>
      <c r="C352" s="226" t="s">
        <v>14</v>
      </c>
      <c r="D352" s="496">
        <v>34</v>
      </c>
      <c r="E352" s="225" t="s">
        <v>271</v>
      </c>
    </row>
    <row r="353" spans="1:5">
      <c r="A353" s="111" t="s">
        <v>1873</v>
      </c>
      <c r="B353" s="1" t="s">
        <v>28</v>
      </c>
      <c r="C353" s="111" t="s">
        <v>14</v>
      </c>
      <c r="D353" s="496">
        <v>17</v>
      </c>
      <c r="E353" s="40" t="s">
        <v>271</v>
      </c>
    </row>
    <row r="354" spans="1:5">
      <c r="A354" s="111" t="s">
        <v>1874</v>
      </c>
      <c r="B354" s="1" t="s">
        <v>2023</v>
      </c>
      <c r="C354" s="111" t="s">
        <v>14</v>
      </c>
      <c r="D354" s="496">
        <v>2</v>
      </c>
      <c r="E354" s="40" t="s">
        <v>271</v>
      </c>
    </row>
    <row r="355" spans="1:5">
      <c r="A355" s="111" t="s">
        <v>1875</v>
      </c>
      <c r="B355" s="1" t="s">
        <v>113</v>
      </c>
      <c r="C355" s="111" t="s">
        <v>14</v>
      </c>
      <c r="D355" s="496">
        <v>19</v>
      </c>
      <c r="E355" s="40" t="s">
        <v>271</v>
      </c>
    </row>
    <row r="356" spans="1:5" ht="22.5">
      <c r="A356" s="111" t="s">
        <v>1876</v>
      </c>
      <c r="B356" s="1" t="s">
        <v>1397</v>
      </c>
      <c r="C356" s="111" t="s">
        <v>14</v>
      </c>
      <c r="D356" s="496">
        <v>21</v>
      </c>
      <c r="E356" s="40" t="s">
        <v>271</v>
      </c>
    </row>
    <row r="357" spans="1:5" ht="22.5">
      <c r="A357" s="111" t="s">
        <v>1877</v>
      </c>
      <c r="B357" s="1" t="s">
        <v>1398</v>
      </c>
      <c r="C357" s="111" t="s">
        <v>14</v>
      </c>
      <c r="D357" s="496">
        <v>21</v>
      </c>
      <c r="E357" s="40" t="s">
        <v>271</v>
      </c>
    </row>
    <row r="358" spans="1:5" ht="33.75">
      <c r="A358" s="111" t="s">
        <v>1878</v>
      </c>
      <c r="B358" s="1" t="s">
        <v>717</v>
      </c>
      <c r="C358" s="111" t="s">
        <v>14</v>
      </c>
      <c r="D358" s="496">
        <v>19</v>
      </c>
      <c r="E358" s="40" t="s">
        <v>271</v>
      </c>
    </row>
    <row r="359" spans="1:5" ht="22.5">
      <c r="A359" s="226" t="s">
        <v>1879</v>
      </c>
      <c r="B359" s="1" t="s">
        <v>2024</v>
      </c>
      <c r="C359" s="226" t="s">
        <v>14</v>
      </c>
      <c r="D359" s="496">
        <v>2</v>
      </c>
      <c r="E359" s="225" t="s">
        <v>271</v>
      </c>
    </row>
    <row r="360" spans="1:5" ht="22.5">
      <c r="A360" s="111" t="s">
        <v>1880</v>
      </c>
      <c r="B360" s="1" t="s">
        <v>1399</v>
      </c>
      <c r="C360" s="111" t="s">
        <v>14</v>
      </c>
      <c r="D360" s="496">
        <v>21</v>
      </c>
      <c r="E360" s="40" t="s">
        <v>271</v>
      </c>
    </row>
    <row r="361" spans="1:5">
      <c r="A361" s="111" t="s">
        <v>1881</v>
      </c>
      <c r="B361" s="1" t="s">
        <v>29</v>
      </c>
      <c r="C361" s="111" t="s">
        <v>14</v>
      </c>
      <c r="D361" s="496">
        <v>18</v>
      </c>
      <c r="E361" s="40" t="s">
        <v>271</v>
      </c>
    </row>
    <row r="362" spans="1:5">
      <c r="A362" s="111" t="s">
        <v>1882</v>
      </c>
      <c r="B362" s="1" t="s">
        <v>300</v>
      </c>
      <c r="C362" s="111" t="s">
        <v>14</v>
      </c>
      <c r="D362" s="496">
        <v>10</v>
      </c>
      <c r="E362" s="40" t="s">
        <v>271</v>
      </c>
    </row>
    <row r="363" spans="1:5">
      <c r="A363" s="111" t="s">
        <v>1883</v>
      </c>
      <c r="B363" s="1" t="s">
        <v>299</v>
      </c>
      <c r="C363" s="111" t="s">
        <v>14</v>
      </c>
      <c r="D363" s="496">
        <v>18</v>
      </c>
      <c r="E363" s="40" t="s">
        <v>271</v>
      </c>
    </row>
    <row r="364" spans="1:5">
      <c r="A364" s="111" t="s">
        <v>1884</v>
      </c>
      <c r="B364" s="1" t="s">
        <v>30</v>
      </c>
      <c r="C364" s="111" t="s">
        <v>14</v>
      </c>
      <c r="D364" s="496">
        <v>6</v>
      </c>
      <c r="E364" s="40" t="s">
        <v>271</v>
      </c>
    </row>
    <row r="365" spans="1:5">
      <c r="A365" s="111" t="s">
        <v>1885</v>
      </c>
      <c r="B365" s="1" t="s">
        <v>1444</v>
      </c>
      <c r="C365" s="111" t="s">
        <v>14</v>
      </c>
      <c r="D365" s="496">
        <v>7</v>
      </c>
      <c r="E365" s="40" t="s">
        <v>271</v>
      </c>
    </row>
    <row r="366" spans="1:5" ht="22.5">
      <c r="A366" s="226" t="s">
        <v>1886</v>
      </c>
      <c r="B366" s="1" t="s">
        <v>1472</v>
      </c>
      <c r="C366" s="226" t="s">
        <v>14</v>
      </c>
      <c r="D366" s="496">
        <v>7</v>
      </c>
      <c r="E366" s="225" t="s">
        <v>271</v>
      </c>
    </row>
    <row r="367" spans="1:5" ht="45">
      <c r="A367" s="111" t="s">
        <v>1887</v>
      </c>
      <c r="B367" s="1" t="s">
        <v>1400</v>
      </c>
      <c r="C367" s="111" t="s">
        <v>14</v>
      </c>
      <c r="D367" s="496">
        <v>5</v>
      </c>
      <c r="E367" s="40" t="s">
        <v>271</v>
      </c>
    </row>
    <row r="368" spans="1:5">
      <c r="A368" s="111" t="s">
        <v>1888</v>
      </c>
      <c r="B368" s="1" t="s">
        <v>270</v>
      </c>
      <c r="C368" s="111" t="s">
        <v>14</v>
      </c>
      <c r="D368" s="496">
        <v>5</v>
      </c>
      <c r="E368" s="40" t="s">
        <v>271</v>
      </c>
    </row>
    <row r="369" spans="1:5" ht="22.5">
      <c r="A369" s="111" t="s">
        <v>1889</v>
      </c>
      <c r="B369" s="1" t="s">
        <v>269</v>
      </c>
      <c r="C369" s="111" t="s">
        <v>14</v>
      </c>
      <c r="D369" s="496">
        <v>18</v>
      </c>
      <c r="E369" s="40" t="s">
        <v>271</v>
      </c>
    </row>
    <row r="370" spans="1:5" ht="22.5">
      <c r="A370" s="111" t="s">
        <v>1890</v>
      </c>
      <c r="B370" s="1" t="s">
        <v>268</v>
      </c>
      <c r="C370" s="111" t="s">
        <v>14</v>
      </c>
      <c r="D370" s="496">
        <v>4</v>
      </c>
      <c r="E370" s="40" t="s">
        <v>271</v>
      </c>
    </row>
    <row r="371" spans="1:5" ht="22.5">
      <c r="A371" s="111" t="s">
        <v>1891</v>
      </c>
      <c r="B371" s="1" t="s">
        <v>46</v>
      </c>
      <c r="C371" s="111" t="s">
        <v>14</v>
      </c>
      <c r="D371" s="496">
        <v>2</v>
      </c>
      <c r="E371" s="40" t="s">
        <v>271</v>
      </c>
    </row>
    <row r="372" spans="1:5">
      <c r="A372" s="111" t="s">
        <v>2035</v>
      </c>
      <c r="B372" s="1" t="s">
        <v>47</v>
      </c>
      <c r="C372" s="111" t="s">
        <v>14</v>
      </c>
      <c r="D372" s="496">
        <v>4</v>
      </c>
      <c r="E372" s="40" t="s">
        <v>271</v>
      </c>
    </row>
    <row r="373" spans="1:5" ht="22.5">
      <c r="A373" s="226" t="s">
        <v>2036</v>
      </c>
      <c r="B373" s="1" t="s">
        <v>2039</v>
      </c>
      <c r="C373" s="226" t="s">
        <v>14</v>
      </c>
      <c r="D373" s="496">
        <v>18</v>
      </c>
      <c r="E373" s="225" t="s">
        <v>271</v>
      </c>
    </row>
    <row r="374" spans="1:5">
      <c r="A374" s="119"/>
      <c r="B374" s="112"/>
      <c r="C374" s="111"/>
      <c r="D374" s="496"/>
      <c r="E374" s="40"/>
    </row>
    <row r="375" spans="1:5">
      <c r="A375" s="120"/>
      <c r="B375" s="1"/>
      <c r="C375" s="111"/>
      <c r="D375" s="496"/>
      <c r="E375" s="40"/>
    </row>
    <row r="376" spans="1:5">
      <c r="A376" s="121" t="s">
        <v>1893</v>
      </c>
      <c r="B376" s="122" t="s">
        <v>1985</v>
      </c>
      <c r="C376" s="111"/>
      <c r="D376" s="501"/>
      <c r="E376" s="40"/>
    </row>
    <row r="377" spans="1:5" ht="22.5">
      <c r="A377" s="120" t="s">
        <v>1894</v>
      </c>
      <c r="B377" s="1" t="s">
        <v>86</v>
      </c>
      <c r="C377" s="111" t="s">
        <v>15</v>
      </c>
      <c r="D377" s="496">
        <v>121.22</v>
      </c>
      <c r="E377" s="40" t="s">
        <v>271</v>
      </c>
    </row>
    <row r="378" spans="1:5">
      <c r="A378" s="120" t="s">
        <v>1896</v>
      </c>
      <c r="B378" s="1" t="s">
        <v>87</v>
      </c>
      <c r="C378" s="111" t="s">
        <v>88</v>
      </c>
      <c r="D378" s="496">
        <v>3</v>
      </c>
      <c r="E378" s="40" t="s">
        <v>271</v>
      </c>
    </row>
    <row r="379" spans="1:5">
      <c r="A379" s="120" t="s">
        <v>1895</v>
      </c>
      <c r="B379" s="1" t="s">
        <v>90</v>
      </c>
      <c r="C379" s="111" t="s">
        <v>88</v>
      </c>
      <c r="D379" s="496">
        <v>10</v>
      </c>
      <c r="E379" s="40" t="s">
        <v>271</v>
      </c>
    </row>
    <row r="380" spans="1:5" ht="22.5">
      <c r="A380" s="120" t="s">
        <v>1897</v>
      </c>
      <c r="B380" s="1" t="s">
        <v>398</v>
      </c>
      <c r="C380" s="111" t="s">
        <v>88</v>
      </c>
      <c r="D380" s="496">
        <v>17</v>
      </c>
      <c r="E380" s="40" t="s">
        <v>271</v>
      </c>
    </row>
    <row r="381" spans="1:5">
      <c r="A381" s="120" t="s">
        <v>1898</v>
      </c>
      <c r="B381" s="1" t="s">
        <v>1440</v>
      </c>
      <c r="C381" s="226" t="s">
        <v>88</v>
      </c>
      <c r="D381" s="496">
        <v>1</v>
      </c>
      <c r="E381" s="225" t="s">
        <v>271</v>
      </c>
    </row>
    <row r="382" spans="1:5">
      <c r="A382" s="120" t="s">
        <v>1899</v>
      </c>
      <c r="B382" s="1" t="s">
        <v>2167</v>
      </c>
      <c r="C382" s="111" t="s">
        <v>14</v>
      </c>
      <c r="D382" s="496">
        <v>3</v>
      </c>
      <c r="E382" s="40" t="s">
        <v>271</v>
      </c>
    </row>
    <row r="383" spans="1:5">
      <c r="A383" s="120" t="s">
        <v>1900</v>
      </c>
      <c r="B383" s="1" t="s">
        <v>89</v>
      </c>
      <c r="C383" s="111" t="s">
        <v>14</v>
      </c>
      <c r="D383" s="496">
        <v>3</v>
      </c>
      <c r="E383" s="40" t="s">
        <v>271</v>
      </c>
    </row>
    <row r="384" spans="1:5">
      <c r="A384" s="120" t="s">
        <v>1901</v>
      </c>
      <c r="B384" s="1" t="s">
        <v>400</v>
      </c>
      <c r="C384" s="111" t="s">
        <v>14</v>
      </c>
      <c r="D384" s="496">
        <v>6</v>
      </c>
      <c r="E384" s="40" t="s">
        <v>271</v>
      </c>
    </row>
    <row r="385" spans="1:5">
      <c r="A385" s="120" t="s">
        <v>1902</v>
      </c>
      <c r="B385" s="1" t="s">
        <v>401</v>
      </c>
      <c r="C385" s="111" t="s">
        <v>14</v>
      </c>
      <c r="D385" s="496">
        <v>12</v>
      </c>
      <c r="E385" s="40" t="s">
        <v>271</v>
      </c>
    </row>
    <row r="386" spans="1:5">
      <c r="A386" s="120" t="s">
        <v>1911</v>
      </c>
      <c r="B386" s="1" t="s">
        <v>402</v>
      </c>
      <c r="C386" s="111" t="s">
        <v>14</v>
      </c>
      <c r="D386" s="496">
        <v>3</v>
      </c>
      <c r="E386" s="40" t="s">
        <v>271</v>
      </c>
    </row>
    <row r="387" spans="1:5">
      <c r="A387" s="120" t="s">
        <v>1910</v>
      </c>
      <c r="B387" s="1" t="s">
        <v>403</v>
      </c>
      <c r="C387" s="111" t="s">
        <v>14</v>
      </c>
      <c r="D387" s="496">
        <v>3</v>
      </c>
      <c r="E387" s="40" t="s">
        <v>271</v>
      </c>
    </row>
    <row r="388" spans="1:5">
      <c r="A388" s="120" t="s">
        <v>1909</v>
      </c>
      <c r="B388" s="1" t="s">
        <v>404</v>
      </c>
      <c r="C388" s="111" t="s">
        <v>14</v>
      </c>
      <c r="D388" s="496">
        <v>3</v>
      </c>
      <c r="E388" s="40" t="s">
        <v>271</v>
      </c>
    </row>
    <row r="389" spans="1:5" ht="22.5">
      <c r="A389" s="120" t="s">
        <v>1908</v>
      </c>
      <c r="B389" s="1" t="s">
        <v>399</v>
      </c>
      <c r="C389" s="111" t="s">
        <v>88</v>
      </c>
      <c r="D389" s="496">
        <v>5</v>
      </c>
      <c r="E389" s="40" t="s">
        <v>271</v>
      </c>
    </row>
    <row r="390" spans="1:5" ht="22.5">
      <c r="A390" s="120" t="s">
        <v>1907</v>
      </c>
      <c r="B390" s="1" t="s">
        <v>940</v>
      </c>
      <c r="C390" s="111" t="s">
        <v>14</v>
      </c>
      <c r="D390" s="496">
        <v>4</v>
      </c>
      <c r="E390" s="40" t="s">
        <v>271</v>
      </c>
    </row>
    <row r="391" spans="1:5">
      <c r="A391" s="120" t="s">
        <v>1906</v>
      </c>
      <c r="B391" s="1" t="s">
        <v>92</v>
      </c>
      <c r="C391" s="111" t="s">
        <v>14</v>
      </c>
      <c r="D391" s="496">
        <v>9</v>
      </c>
      <c r="E391" s="40" t="s">
        <v>271</v>
      </c>
    </row>
    <row r="392" spans="1:5">
      <c r="A392" s="120" t="s">
        <v>1905</v>
      </c>
      <c r="B392" s="1" t="s">
        <v>93</v>
      </c>
      <c r="C392" s="111" t="s">
        <v>15</v>
      </c>
      <c r="D392" s="496">
        <v>72</v>
      </c>
      <c r="E392" s="40" t="s">
        <v>271</v>
      </c>
    </row>
    <row r="393" spans="1:5">
      <c r="A393" s="120" t="s">
        <v>1904</v>
      </c>
      <c r="B393" s="1" t="s">
        <v>94</v>
      </c>
      <c r="C393" s="111" t="s">
        <v>88</v>
      </c>
      <c r="D393" s="500">
        <v>38</v>
      </c>
      <c r="E393" s="40" t="s">
        <v>1321</v>
      </c>
    </row>
    <row r="394" spans="1:5">
      <c r="A394" s="120"/>
      <c r="B394" s="1"/>
      <c r="C394" s="226"/>
      <c r="D394" s="500"/>
      <c r="E394" s="225"/>
    </row>
    <row r="395" spans="1:5">
      <c r="A395" s="120"/>
      <c r="B395" s="1"/>
      <c r="C395" s="226"/>
      <c r="D395" s="500"/>
      <c r="E395" s="225"/>
    </row>
    <row r="396" spans="1:5">
      <c r="A396" s="137" t="s">
        <v>1912</v>
      </c>
      <c r="B396" s="122" t="s">
        <v>1231</v>
      </c>
      <c r="C396" s="113"/>
      <c r="D396" s="496"/>
      <c r="E396" s="40"/>
    </row>
    <row r="397" spans="1:5" ht="22.5">
      <c r="A397" s="120" t="s">
        <v>1913</v>
      </c>
      <c r="B397" s="1" t="s">
        <v>1387</v>
      </c>
      <c r="C397" s="111" t="s">
        <v>88</v>
      </c>
      <c r="D397" s="496">
        <v>1</v>
      </c>
      <c r="E397" s="116" t="s">
        <v>271</v>
      </c>
    </row>
    <row r="398" spans="1:5" ht="22.5">
      <c r="A398" s="120" t="s">
        <v>1914</v>
      </c>
      <c r="B398" s="1" t="s">
        <v>1388</v>
      </c>
      <c r="C398" s="111" t="s">
        <v>88</v>
      </c>
      <c r="D398" s="496">
        <v>4</v>
      </c>
      <c r="E398" s="116" t="s">
        <v>271</v>
      </c>
    </row>
    <row r="399" spans="1:5" ht="22.5">
      <c r="A399" s="120" t="s">
        <v>1915</v>
      </c>
      <c r="B399" s="1" t="s">
        <v>1389</v>
      </c>
      <c r="C399" s="111" t="s">
        <v>88</v>
      </c>
      <c r="D399" s="496">
        <v>2</v>
      </c>
      <c r="E399" s="116" t="s">
        <v>271</v>
      </c>
    </row>
    <row r="400" spans="1:5">
      <c r="A400" s="120"/>
      <c r="B400" s="112"/>
      <c r="C400" s="111"/>
      <c r="D400" s="496"/>
      <c r="E400" s="40"/>
    </row>
    <row r="401" spans="1:5">
      <c r="A401" s="120"/>
      <c r="B401" s="1"/>
      <c r="C401" s="111"/>
      <c r="D401" s="496"/>
      <c r="E401" s="40"/>
    </row>
    <row r="402" spans="1:5">
      <c r="A402" s="137" t="s">
        <v>1916</v>
      </c>
      <c r="B402" s="122" t="s">
        <v>1322</v>
      </c>
      <c r="C402" s="113"/>
      <c r="D402" s="496"/>
      <c r="E402" s="40"/>
    </row>
    <row r="403" spans="1:5">
      <c r="A403" s="120" t="s">
        <v>1917</v>
      </c>
      <c r="B403" s="1" t="s">
        <v>1368</v>
      </c>
      <c r="C403" s="111" t="s">
        <v>553</v>
      </c>
      <c r="D403" s="496">
        <v>1</v>
      </c>
      <c r="E403" s="40" t="s">
        <v>271</v>
      </c>
    </row>
    <row r="404" spans="1:5" ht="22.5">
      <c r="A404" s="120" t="s">
        <v>1918</v>
      </c>
      <c r="B404" s="112" t="s">
        <v>1248</v>
      </c>
      <c r="C404" s="111" t="s">
        <v>553</v>
      </c>
      <c r="D404" s="496">
        <v>1</v>
      </c>
      <c r="E404" s="40" t="s">
        <v>271</v>
      </c>
    </row>
    <row r="405" spans="1:5" ht="22.5">
      <c r="A405" s="120" t="s">
        <v>1919</v>
      </c>
      <c r="B405" s="206" t="s">
        <v>1251</v>
      </c>
      <c r="C405" s="111" t="s">
        <v>553</v>
      </c>
      <c r="D405" s="496">
        <v>1</v>
      </c>
      <c r="E405" s="40" t="s">
        <v>271</v>
      </c>
    </row>
    <row r="406" spans="1:5">
      <c r="A406" s="120" t="s">
        <v>1920</v>
      </c>
      <c r="B406" s="206" t="s">
        <v>1318</v>
      </c>
      <c r="C406" s="111" t="s">
        <v>88</v>
      </c>
      <c r="D406" s="496">
        <v>606</v>
      </c>
      <c r="E406" s="40" t="s">
        <v>271</v>
      </c>
    </row>
    <row r="407" spans="1:5">
      <c r="A407" s="120" t="s">
        <v>1921</v>
      </c>
      <c r="B407" s="206" t="s">
        <v>2168</v>
      </c>
      <c r="C407" s="226" t="s">
        <v>88</v>
      </c>
      <c r="D407" s="496">
        <v>1</v>
      </c>
      <c r="E407" s="225" t="s">
        <v>271</v>
      </c>
    </row>
    <row r="408" spans="1:5">
      <c r="A408" s="120"/>
      <c r="B408" s="1"/>
      <c r="C408" s="111"/>
      <c r="D408" s="496"/>
      <c r="E408" s="40"/>
    </row>
    <row r="409" spans="1:5">
      <c r="A409" s="143"/>
      <c r="B409" s="1"/>
      <c r="C409" s="117"/>
      <c r="D409" s="501"/>
      <c r="E409" s="40"/>
    </row>
    <row r="410" spans="1:5">
      <c r="A410" s="121" t="s">
        <v>1924</v>
      </c>
      <c r="B410" s="122" t="s">
        <v>1988</v>
      </c>
      <c r="C410" s="226"/>
      <c r="D410" s="496"/>
      <c r="E410" s="225"/>
    </row>
    <row r="411" spans="1:5">
      <c r="A411" s="121" t="s">
        <v>1925</v>
      </c>
      <c r="B411" s="122" t="s">
        <v>1304</v>
      </c>
      <c r="C411" s="111"/>
      <c r="D411" s="496"/>
      <c r="E411" s="40"/>
    </row>
    <row r="412" spans="1:5" ht="22.5">
      <c r="A412" s="120" t="s">
        <v>1926</v>
      </c>
      <c r="B412" s="1" t="s">
        <v>292</v>
      </c>
      <c r="C412" s="111" t="s">
        <v>14</v>
      </c>
      <c r="D412" s="496">
        <v>4</v>
      </c>
      <c r="E412" s="40" t="s">
        <v>271</v>
      </c>
    </row>
    <row r="413" spans="1:5">
      <c r="A413" s="120" t="s">
        <v>1932</v>
      </c>
      <c r="B413" s="1" t="s">
        <v>70</v>
      </c>
      <c r="C413" s="111" t="s">
        <v>14</v>
      </c>
      <c r="D413" s="496">
        <v>4</v>
      </c>
      <c r="E413" s="40" t="s">
        <v>271</v>
      </c>
    </row>
    <row r="414" spans="1:5">
      <c r="A414" s="120" t="s">
        <v>1931</v>
      </c>
      <c r="B414" s="1" t="s">
        <v>79</v>
      </c>
      <c r="C414" s="111" t="s">
        <v>14</v>
      </c>
      <c r="D414" s="496">
        <v>4</v>
      </c>
      <c r="E414" s="40" t="s">
        <v>271</v>
      </c>
    </row>
    <row r="415" spans="1:5" ht="22.5">
      <c r="A415" s="120" t="s">
        <v>1930</v>
      </c>
      <c r="B415" s="1" t="s">
        <v>62</v>
      </c>
      <c r="C415" s="111" t="s">
        <v>15</v>
      </c>
      <c r="D415" s="496">
        <v>81.260000000000005</v>
      </c>
      <c r="E415" s="40" t="s">
        <v>271</v>
      </c>
    </row>
    <row r="416" spans="1:5" ht="22.5">
      <c r="A416" s="120" t="s">
        <v>1929</v>
      </c>
      <c r="B416" s="1" t="s">
        <v>1305</v>
      </c>
      <c r="C416" s="111" t="s">
        <v>15</v>
      </c>
      <c r="D416" s="496">
        <v>52</v>
      </c>
      <c r="E416" s="40" t="s">
        <v>271</v>
      </c>
    </row>
    <row r="417" spans="1:5">
      <c r="A417" s="120" t="s">
        <v>1928</v>
      </c>
      <c r="B417" s="1" t="s">
        <v>1292</v>
      </c>
      <c r="C417" s="111" t="s">
        <v>13</v>
      </c>
      <c r="D417" s="496">
        <f>63.34*2*0.5</f>
        <v>63.34</v>
      </c>
      <c r="E417" s="40" t="s">
        <v>1306</v>
      </c>
    </row>
    <row r="418" spans="1:5">
      <c r="A418" s="120" t="s">
        <v>1927</v>
      </c>
      <c r="B418" s="1" t="s">
        <v>1294</v>
      </c>
      <c r="C418" s="111" t="s">
        <v>1307</v>
      </c>
      <c r="D418" s="496">
        <f>63.34*2</f>
        <v>126.68</v>
      </c>
      <c r="E418" s="40" t="s">
        <v>1308</v>
      </c>
    </row>
    <row r="419" spans="1:5">
      <c r="A419" s="119" t="s">
        <v>2028</v>
      </c>
      <c r="B419" s="112" t="s">
        <v>2169</v>
      </c>
      <c r="C419" s="111" t="s">
        <v>14</v>
      </c>
      <c r="D419" s="501">
        <v>2</v>
      </c>
      <c r="E419" s="40" t="s">
        <v>271</v>
      </c>
    </row>
    <row r="420" spans="1:5">
      <c r="A420" s="119"/>
      <c r="B420" s="112"/>
      <c r="C420" s="111"/>
      <c r="D420" s="501"/>
      <c r="E420" s="40"/>
    </row>
    <row r="421" spans="1:5">
      <c r="A421" s="119"/>
      <c r="B421" s="228"/>
      <c r="C421" s="226"/>
      <c r="D421" s="501"/>
      <c r="E421" s="225"/>
    </row>
  </sheetData>
  <phoneticPr fontId="0" type="noConversion"/>
  <printOptions horizontalCentered="1"/>
  <pageMargins left="0.15748031496062992" right="0.19685039370078741" top="0.78740157480314965" bottom="0.62992125984251968" header="0.31496062992125984" footer="0.27559055118110237"/>
  <pageSetup paperSize="9" scale="74" fitToHeight="0" orientation="portrait" r:id="rId1"/>
  <headerFooter alignWithMargins="0">
    <oddHeader>&amp;LOBRA: GINASIO DE ESPORTES
LOCAL: IFAM - MAUES - AM
MES REFERENCIA- JUL/2012</oddHeader>
    <oddFooter>&amp;CEndereço: Rua Santa Rita de Cassia nº 559, Setor Sao Jose - São Luis des Montes Belos CEP:74.100-000
 CNPJ:03.064.549/0001-38 Insc.Mun.:94.878 Fone/Fax:(64)3671-4080 email:cm.engenharia@yahoo.com.br&amp;R&amp;P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41"/>
  <sheetViews>
    <sheetView topLeftCell="A13" workbookViewId="0">
      <selection activeCell="J7" sqref="J7:J14"/>
    </sheetView>
  </sheetViews>
  <sheetFormatPr defaultRowHeight="12.75"/>
  <cols>
    <col min="1" max="1" width="12.7109375" customWidth="1"/>
    <col min="2" max="3" width="8.42578125" customWidth="1"/>
    <col min="4" max="4" width="10.5703125" customWidth="1"/>
    <col min="5" max="5" width="12.85546875" customWidth="1"/>
    <col min="6" max="6" width="9.42578125" customWidth="1"/>
    <col min="7" max="7" width="8.85546875" customWidth="1"/>
    <col min="8" max="8" width="12" customWidth="1"/>
    <col min="9" max="10" width="11.140625" style="201" customWidth="1"/>
    <col min="11" max="11" width="14.140625" customWidth="1"/>
    <col min="16" max="16" width="12.85546875" customWidth="1"/>
    <col min="27" max="27" width="10" bestFit="1" customWidth="1"/>
    <col min="28" max="28" width="11.85546875" bestFit="1" customWidth="1"/>
  </cols>
  <sheetData>
    <row r="2" spans="1:11" ht="15.75">
      <c r="A2" s="997" t="s">
        <v>1118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</row>
    <row r="4" spans="1:11" ht="38.25">
      <c r="A4" s="193" t="s">
        <v>1119</v>
      </c>
      <c r="B4" s="193" t="s">
        <v>1120</v>
      </c>
      <c r="C4" s="193" t="s">
        <v>1121</v>
      </c>
      <c r="D4" s="193" t="s">
        <v>1122</v>
      </c>
      <c r="E4" s="193" t="s">
        <v>1123</v>
      </c>
      <c r="F4" s="193" t="s">
        <v>195</v>
      </c>
      <c r="G4" s="193" t="s">
        <v>1124</v>
      </c>
      <c r="H4" s="193" t="s">
        <v>105</v>
      </c>
      <c r="I4" s="194" t="s">
        <v>1125</v>
      </c>
      <c r="J4" s="194" t="s">
        <v>1126</v>
      </c>
      <c r="K4" s="193" t="s">
        <v>1127</v>
      </c>
    </row>
    <row r="5" spans="1:11">
      <c r="A5" s="1001" t="s">
        <v>388</v>
      </c>
      <c r="B5" s="998">
        <v>18</v>
      </c>
      <c r="C5" s="998">
        <v>5</v>
      </c>
      <c r="D5" s="998">
        <v>31</v>
      </c>
      <c r="E5" s="195" t="s">
        <v>316</v>
      </c>
      <c r="F5" s="5">
        <v>28</v>
      </c>
      <c r="G5" s="5">
        <v>0.9</v>
      </c>
      <c r="H5" s="5">
        <f>G5*F5*B5</f>
        <v>453.59999999999997</v>
      </c>
      <c r="I5" s="196">
        <v>0.245</v>
      </c>
      <c r="J5" s="995">
        <f>B5*C5</f>
        <v>90</v>
      </c>
      <c r="K5" s="5">
        <f t="shared" ref="K5:K14" si="0">H5*I5*1.1</f>
        <v>122.2452</v>
      </c>
    </row>
    <row r="6" spans="1:11">
      <c r="A6" s="1002"/>
      <c r="B6" s="999"/>
      <c r="C6" s="999"/>
      <c r="D6" s="999"/>
      <c r="E6" s="195">
        <v>10</v>
      </c>
      <c r="F6" s="5">
        <v>5</v>
      </c>
      <c r="G6" s="5">
        <v>5</v>
      </c>
      <c r="H6" s="5">
        <f>G6*F6*B5</f>
        <v>450</v>
      </c>
      <c r="I6" s="196">
        <v>0.39500000000000002</v>
      </c>
      <c r="J6" s="996"/>
      <c r="K6" s="5">
        <f t="shared" si="0"/>
        <v>195.52500000000001</v>
      </c>
    </row>
    <row r="7" spans="1:11">
      <c r="A7" s="1001" t="s">
        <v>1128</v>
      </c>
      <c r="B7" s="998">
        <v>43</v>
      </c>
      <c r="C7" s="998">
        <v>9</v>
      </c>
      <c r="D7" s="998">
        <v>40</v>
      </c>
      <c r="E7" s="195" t="s">
        <v>316</v>
      </c>
      <c r="F7" s="5">
        <v>65</v>
      </c>
      <c r="G7" s="5">
        <v>1.1499999999999999</v>
      </c>
      <c r="H7" s="5">
        <f t="shared" ref="H7:H13" si="1">G7*F7*B7</f>
        <v>3214.25</v>
      </c>
      <c r="I7" s="196">
        <v>0.245</v>
      </c>
      <c r="J7" s="995">
        <f>B7*C7</f>
        <v>387</v>
      </c>
      <c r="K7" s="5">
        <f t="shared" si="0"/>
        <v>866.24037500000009</v>
      </c>
    </row>
    <row r="8" spans="1:11">
      <c r="A8" s="1002"/>
      <c r="B8" s="999"/>
      <c r="C8" s="999"/>
      <c r="D8" s="999"/>
      <c r="E8" s="195">
        <v>10</v>
      </c>
      <c r="F8" s="5">
        <v>8</v>
      </c>
      <c r="G8" s="5">
        <v>9</v>
      </c>
      <c r="H8" s="5">
        <f>G8*F8*B7</f>
        <v>3096</v>
      </c>
      <c r="I8" s="196">
        <v>0.39500000000000002</v>
      </c>
      <c r="J8" s="996"/>
      <c r="K8" s="5">
        <f t="shared" si="0"/>
        <v>1345.2120000000002</v>
      </c>
    </row>
    <row r="9" spans="1:11">
      <c r="A9" s="1001" t="s">
        <v>1129</v>
      </c>
      <c r="B9" s="998">
        <v>168</v>
      </c>
      <c r="C9" s="998">
        <v>12</v>
      </c>
      <c r="D9" s="998">
        <v>40</v>
      </c>
      <c r="E9" s="195" t="s">
        <v>316</v>
      </c>
      <c r="F9" s="5">
        <v>86</v>
      </c>
      <c r="G9" s="5">
        <v>1.1499999999999999</v>
      </c>
      <c r="H9" s="5">
        <f t="shared" si="1"/>
        <v>16615.199999999997</v>
      </c>
      <c r="I9" s="196">
        <v>0.245</v>
      </c>
      <c r="J9" s="995">
        <f>B9*C9</f>
        <v>2016</v>
      </c>
      <c r="K9" s="5">
        <f t="shared" si="0"/>
        <v>4477.7963999999993</v>
      </c>
    </row>
    <row r="10" spans="1:11">
      <c r="A10" s="1002"/>
      <c r="B10" s="999"/>
      <c r="C10" s="999"/>
      <c r="D10" s="999"/>
      <c r="E10" s="195" t="s">
        <v>317</v>
      </c>
      <c r="F10" s="5">
        <v>4</v>
      </c>
      <c r="G10" s="5">
        <v>12</v>
      </c>
      <c r="H10" s="5">
        <f>G10*F10*B9</f>
        <v>8064</v>
      </c>
      <c r="I10" s="196">
        <v>0.39500000000000002</v>
      </c>
      <c r="J10" s="996"/>
      <c r="K10" s="5">
        <f t="shared" si="0"/>
        <v>3503.8080000000004</v>
      </c>
    </row>
    <row r="11" spans="1:11">
      <c r="A11" s="1001" t="s">
        <v>1130</v>
      </c>
      <c r="B11" s="998">
        <v>28</v>
      </c>
      <c r="C11" s="998">
        <v>14</v>
      </c>
      <c r="D11" s="998">
        <v>40</v>
      </c>
      <c r="E11" s="195" t="s">
        <v>316</v>
      </c>
      <c r="F11" s="5">
        <v>100</v>
      </c>
      <c r="G11" s="5">
        <v>1.1499999999999999</v>
      </c>
      <c r="H11" s="5">
        <f t="shared" si="1"/>
        <v>3219.9999999999995</v>
      </c>
      <c r="I11" s="196">
        <v>0.245</v>
      </c>
      <c r="J11" s="995">
        <f>B11*C11</f>
        <v>392</v>
      </c>
      <c r="K11" s="5">
        <f t="shared" si="0"/>
        <v>867.79</v>
      </c>
    </row>
    <row r="12" spans="1:11">
      <c r="A12" s="1002"/>
      <c r="B12" s="999"/>
      <c r="C12" s="999"/>
      <c r="D12" s="999"/>
      <c r="E12" s="195">
        <v>10</v>
      </c>
      <c r="F12" s="5">
        <v>8</v>
      </c>
      <c r="G12" s="5">
        <v>14</v>
      </c>
      <c r="H12" s="5">
        <f>G12*F12*B11</f>
        <v>3136</v>
      </c>
      <c r="I12" s="196">
        <v>0.39500000000000002</v>
      </c>
      <c r="J12" s="996"/>
      <c r="K12" s="5">
        <f t="shared" si="0"/>
        <v>1362.5920000000001</v>
      </c>
    </row>
    <row r="13" spans="1:11">
      <c r="A13" s="1001" t="s">
        <v>1131</v>
      </c>
      <c r="B13" s="998">
        <v>14</v>
      </c>
      <c r="C13" s="998">
        <v>16</v>
      </c>
      <c r="D13" s="998">
        <v>40</v>
      </c>
      <c r="E13" s="209" t="s">
        <v>316</v>
      </c>
      <c r="F13" s="5">
        <v>115</v>
      </c>
      <c r="G13" s="5">
        <v>1.1499999999999999</v>
      </c>
      <c r="H13" s="5">
        <f t="shared" si="1"/>
        <v>1851.5</v>
      </c>
      <c r="I13" s="196">
        <v>0.245</v>
      </c>
      <c r="J13" s="995">
        <f>B13*C13</f>
        <v>224</v>
      </c>
      <c r="K13" s="5">
        <f t="shared" si="0"/>
        <v>498.97925000000004</v>
      </c>
    </row>
    <row r="14" spans="1:11">
      <c r="A14" s="1002"/>
      <c r="B14" s="999"/>
      <c r="C14" s="999"/>
      <c r="D14" s="999"/>
      <c r="E14" s="209">
        <v>10</v>
      </c>
      <c r="F14" s="5">
        <v>8</v>
      </c>
      <c r="G14" s="5">
        <v>16</v>
      </c>
      <c r="H14" s="5">
        <f>G14*F14*B13</f>
        <v>1792</v>
      </c>
      <c r="I14" s="196">
        <v>0.39500000000000002</v>
      </c>
      <c r="J14" s="996"/>
      <c r="K14" s="5">
        <f t="shared" si="0"/>
        <v>778.62400000000014</v>
      </c>
    </row>
    <row r="15" spans="1:11">
      <c r="A15" s="1001"/>
      <c r="B15" s="998"/>
      <c r="C15" s="998"/>
      <c r="D15" s="998"/>
      <c r="E15" s="192"/>
      <c r="F15" s="5"/>
      <c r="G15" s="5"/>
      <c r="H15" s="5"/>
      <c r="I15" s="196"/>
      <c r="J15" s="995"/>
      <c r="K15" s="5"/>
    </row>
    <row r="16" spans="1:11">
      <c r="A16" s="1002"/>
      <c r="B16" s="999"/>
      <c r="C16" s="999"/>
      <c r="D16" s="999"/>
      <c r="E16" s="192"/>
      <c r="F16" s="5"/>
      <c r="G16" s="5"/>
      <c r="H16" s="5"/>
      <c r="I16" s="196"/>
      <c r="J16" s="996"/>
      <c r="K16" s="5"/>
    </row>
    <row r="19" spans="1:53" s="197" customFormat="1" ht="12">
      <c r="A19" s="89" t="s">
        <v>1132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1"/>
      <c r="N19" s="91"/>
      <c r="O19" s="91"/>
      <c r="P19" s="89" t="s">
        <v>1133</v>
      </c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D19" s="97"/>
      <c r="AE19" s="97"/>
      <c r="AF19" s="97"/>
      <c r="AG19" s="91"/>
      <c r="AH19" s="97"/>
      <c r="AI19" s="91"/>
      <c r="AJ19" s="91"/>
      <c r="AK19" s="97"/>
      <c r="AO19" s="97"/>
      <c r="AP19" s="97"/>
    </row>
    <row r="20" spans="1:53" s="197" customFormat="1" ht="12">
      <c r="A20" s="91"/>
      <c r="B20" s="91"/>
      <c r="C20" s="91"/>
      <c r="D20" s="91"/>
      <c r="E20" s="91"/>
      <c r="F20" s="92"/>
      <c r="G20" s="94"/>
      <c r="H20" s="94"/>
      <c r="I20" s="91"/>
      <c r="J20" s="95"/>
      <c r="K20" s="96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3"/>
      <c r="W20" s="94"/>
      <c r="X20" s="92" t="s">
        <v>387</v>
      </c>
      <c r="Y20" s="95"/>
      <c r="Z20" s="96"/>
      <c r="AA20" s="91"/>
      <c r="AB20" s="96"/>
      <c r="AD20" s="97"/>
      <c r="AE20" s="91"/>
      <c r="AF20" s="97"/>
      <c r="AG20" s="97"/>
      <c r="AH20" s="91"/>
      <c r="AI20" s="97"/>
      <c r="AJ20" s="91"/>
      <c r="AK20" s="91"/>
      <c r="AL20" s="91"/>
      <c r="AO20" s="97"/>
      <c r="AP20" s="198"/>
    </row>
    <row r="21" spans="1:53" s="197" customFormat="1" ht="12">
      <c r="A21" s="94">
        <f>$AC$4</f>
        <v>0</v>
      </c>
      <c r="B21" s="97"/>
      <c r="C21" s="91"/>
      <c r="D21" s="91"/>
      <c r="E21" s="91"/>
      <c r="F21" s="92" t="s">
        <v>320</v>
      </c>
      <c r="G21" s="91"/>
      <c r="H21" s="91"/>
      <c r="I21" s="91"/>
      <c r="J21" s="95"/>
      <c r="K21" s="96"/>
      <c r="L21" s="91"/>
      <c r="M21" s="91"/>
      <c r="N21" s="91"/>
      <c r="O21" s="91"/>
      <c r="P21" s="94">
        <f>$AC$4</f>
        <v>0</v>
      </c>
      <c r="Q21" s="97"/>
      <c r="R21" s="91"/>
      <c r="S21" s="91"/>
      <c r="T21" s="91"/>
      <c r="U21" s="91"/>
      <c r="V21" s="93"/>
      <c r="W21" s="91"/>
      <c r="X21" s="92" t="s">
        <v>1134</v>
      </c>
      <c r="Y21" s="95"/>
      <c r="Z21" s="96"/>
      <c r="AA21" s="91"/>
      <c r="AB21" s="96"/>
      <c r="AD21" s="97"/>
      <c r="AE21" s="91"/>
      <c r="AF21" s="97"/>
      <c r="AG21" s="97"/>
      <c r="AH21" s="91"/>
      <c r="AI21" s="97"/>
      <c r="AJ21" s="91"/>
      <c r="AK21" s="91"/>
      <c r="AL21" s="91"/>
      <c r="AO21" s="97"/>
      <c r="AP21" s="97"/>
    </row>
    <row r="22" spans="1:53" s="197" customFormat="1" ht="12">
      <c r="A22" s="94">
        <f>$AC$5</f>
        <v>0</v>
      </c>
      <c r="B22" s="97"/>
      <c r="C22" s="91"/>
      <c r="D22" s="91"/>
      <c r="E22" s="91"/>
      <c r="F22" s="92" t="s">
        <v>1135</v>
      </c>
      <c r="G22" s="94"/>
      <c r="H22" s="94"/>
      <c r="I22" s="91"/>
      <c r="J22" s="95"/>
      <c r="K22" s="96"/>
      <c r="L22" s="91"/>
      <c r="M22" s="91"/>
      <c r="N22" s="91"/>
      <c r="O22" s="91"/>
      <c r="P22" s="94">
        <f>$AC$5</f>
        <v>0</v>
      </c>
      <c r="Q22" s="97"/>
      <c r="R22" s="91"/>
      <c r="S22" s="91"/>
      <c r="T22" s="91"/>
      <c r="U22" s="91"/>
      <c r="V22" s="93"/>
      <c r="W22" s="94"/>
      <c r="X22" s="92" t="s">
        <v>1136</v>
      </c>
      <c r="Y22" s="95"/>
      <c r="Z22" s="96"/>
      <c r="AA22" s="91"/>
      <c r="AB22" s="96"/>
      <c r="AD22" s="97"/>
      <c r="AE22" s="91"/>
      <c r="AF22" s="97"/>
      <c r="AG22" s="97"/>
      <c r="AH22" s="91"/>
      <c r="AI22" s="97"/>
      <c r="AJ22" s="91"/>
      <c r="AK22" s="91"/>
      <c r="AL22" s="91"/>
      <c r="AO22" s="97"/>
      <c r="AP22" s="97"/>
    </row>
    <row r="23" spans="1:53" s="197" customFormat="1" ht="12">
      <c r="A23" s="94">
        <f>$AC$6</f>
        <v>0</v>
      </c>
      <c r="B23" s="97"/>
      <c r="C23" s="91"/>
      <c r="D23" s="91"/>
      <c r="E23" s="91"/>
      <c r="F23" s="92" t="s">
        <v>1137</v>
      </c>
      <c r="G23" s="94"/>
      <c r="H23" s="94"/>
      <c r="I23" s="91"/>
      <c r="J23" s="95"/>
      <c r="K23" s="96"/>
      <c r="L23" s="91"/>
      <c r="M23" s="91"/>
      <c r="N23" s="91"/>
      <c r="O23" s="91"/>
      <c r="P23" s="94">
        <f>$AC$6</f>
        <v>0</v>
      </c>
      <c r="Q23" s="97"/>
      <c r="R23" s="91"/>
      <c r="S23" s="91"/>
      <c r="T23" s="91"/>
      <c r="U23" s="91"/>
      <c r="V23" s="93"/>
      <c r="W23" s="94"/>
      <c r="X23" s="92" t="s">
        <v>2132</v>
      </c>
      <c r="Y23" s="95"/>
      <c r="Z23" s="96"/>
      <c r="AA23" s="91"/>
      <c r="AB23" s="96"/>
      <c r="AD23" s="97"/>
      <c r="AE23" s="91"/>
      <c r="AF23" s="97"/>
      <c r="AG23" s="97"/>
      <c r="AH23" s="91"/>
      <c r="AI23" s="97"/>
      <c r="AJ23" s="91"/>
      <c r="AK23" s="91"/>
      <c r="AL23" s="91"/>
      <c r="AO23" s="97"/>
      <c r="AP23" s="97"/>
    </row>
    <row r="24" spans="1:53" s="197" customFormat="1" ht="12">
      <c r="A24" s="91"/>
      <c r="B24" s="91"/>
      <c r="C24" s="91"/>
      <c r="D24" s="91"/>
      <c r="E24" s="91"/>
      <c r="F24" s="92" t="s">
        <v>321</v>
      </c>
      <c r="G24" s="94"/>
      <c r="H24" s="94"/>
      <c r="I24" s="91"/>
      <c r="J24" s="95"/>
      <c r="K24" s="96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3"/>
      <c r="W24" s="94"/>
      <c r="X24" s="92" t="s">
        <v>1138</v>
      </c>
      <c r="Y24" s="95"/>
      <c r="Z24" s="96"/>
      <c r="AA24" s="91"/>
      <c r="AB24" s="96"/>
      <c r="AD24" s="97"/>
      <c r="AE24" s="91"/>
      <c r="AF24" s="97"/>
      <c r="AG24" s="97"/>
      <c r="AH24" s="91"/>
      <c r="AI24" s="97"/>
      <c r="AJ24" s="91"/>
      <c r="AK24" s="91"/>
      <c r="AL24" s="91"/>
      <c r="AO24" s="97"/>
      <c r="AP24" s="97"/>
    </row>
    <row r="25" spans="1:53" s="197" customFormat="1" ht="12">
      <c r="A25" s="94" t="s">
        <v>322</v>
      </c>
      <c r="B25" s="97"/>
      <c r="C25" s="91"/>
      <c r="D25" s="91"/>
      <c r="E25" s="91"/>
      <c r="F25" s="92" t="s">
        <v>323</v>
      </c>
      <c r="G25" s="94"/>
      <c r="H25" s="94"/>
      <c r="I25" s="91"/>
      <c r="J25" s="95"/>
      <c r="K25" s="96"/>
      <c r="L25" s="91"/>
      <c r="M25" s="91"/>
      <c r="N25" s="91"/>
      <c r="O25" s="91"/>
      <c r="P25" s="94" t="s">
        <v>383</v>
      </c>
      <c r="Q25" s="97"/>
      <c r="R25" s="91"/>
      <c r="S25" s="91"/>
      <c r="T25" s="91"/>
      <c r="U25" s="91"/>
      <c r="V25" s="93"/>
      <c r="W25" s="94"/>
      <c r="X25" s="92" t="s">
        <v>2133</v>
      </c>
      <c r="Y25" s="95"/>
      <c r="Z25" s="96"/>
      <c r="AA25" s="91"/>
      <c r="AB25" s="96"/>
      <c r="AD25" s="97"/>
      <c r="AE25" s="91"/>
      <c r="AF25" s="97"/>
      <c r="AG25" s="97"/>
      <c r="AH25" s="91"/>
      <c r="AI25" s="97"/>
      <c r="AJ25" s="91"/>
      <c r="AK25" s="91"/>
      <c r="AL25" s="91"/>
      <c r="AO25" s="97"/>
      <c r="AP25" s="97"/>
    </row>
    <row r="26" spans="1:53" s="197" customFormat="1" ht="12">
      <c r="A26" s="94" t="s">
        <v>324</v>
      </c>
      <c r="B26" s="97"/>
      <c r="C26" s="91"/>
      <c r="D26" s="91"/>
      <c r="E26" s="91"/>
      <c r="F26" s="98"/>
      <c r="G26" s="99"/>
      <c r="H26" s="99"/>
      <c r="I26" s="91"/>
      <c r="J26" s="95"/>
      <c r="K26" s="96"/>
      <c r="L26" s="91"/>
      <c r="M26" s="91"/>
      <c r="N26" s="91"/>
      <c r="O26" s="91"/>
      <c r="P26" s="94" t="s">
        <v>324</v>
      </c>
      <c r="Q26" s="97"/>
      <c r="R26" s="91"/>
      <c r="S26" s="91"/>
      <c r="T26" s="91"/>
      <c r="U26" s="91"/>
      <c r="V26" s="93"/>
      <c r="W26" s="99"/>
      <c r="X26" s="92" t="s">
        <v>1139</v>
      </c>
      <c r="Y26" s="95"/>
      <c r="Z26" s="96"/>
      <c r="AA26" s="91"/>
      <c r="AB26" s="96"/>
      <c r="AD26" s="97"/>
      <c r="AE26" s="91"/>
      <c r="AF26" s="97"/>
      <c r="AG26" s="97"/>
      <c r="AH26" s="91"/>
      <c r="AI26" s="97"/>
      <c r="AJ26" s="91"/>
      <c r="AK26" s="91"/>
      <c r="AL26" s="91"/>
      <c r="AO26" s="97"/>
      <c r="AP26" s="97"/>
    </row>
    <row r="27" spans="1:53" s="197" customFormat="1" ht="12">
      <c r="A27" s="94" t="s">
        <v>325</v>
      </c>
      <c r="B27" s="97"/>
      <c r="C27" s="91"/>
      <c r="D27" s="91"/>
      <c r="E27" s="91"/>
      <c r="F27" s="98"/>
      <c r="G27" s="91"/>
      <c r="H27" s="91"/>
      <c r="I27" s="91"/>
      <c r="J27" s="95"/>
      <c r="K27" s="96"/>
      <c r="L27" s="94"/>
      <c r="M27" s="91"/>
      <c r="N27" s="91"/>
      <c r="O27" s="91"/>
      <c r="P27" s="94" t="s">
        <v>384</v>
      </c>
      <c r="Q27" s="97"/>
      <c r="R27" s="91"/>
      <c r="S27" s="91"/>
      <c r="T27" s="91"/>
      <c r="U27" s="91"/>
      <c r="V27" s="93"/>
      <c r="W27" s="91"/>
      <c r="X27" s="92" t="s">
        <v>1140</v>
      </c>
      <c r="Y27" s="95"/>
      <c r="Z27" s="96"/>
      <c r="AA27" s="91"/>
      <c r="AB27" s="93"/>
      <c r="AD27" s="97"/>
      <c r="AE27" s="91"/>
      <c r="AF27" s="97"/>
      <c r="AG27" s="97"/>
      <c r="AH27" s="91"/>
      <c r="AI27" s="97"/>
      <c r="AJ27" s="91"/>
      <c r="AK27" s="91"/>
      <c r="AL27" s="91"/>
      <c r="AO27" s="97"/>
      <c r="AP27" s="97"/>
    </row>
    <row r="28" spans="1:53" s="197" customFormat="1" ht="12">
      <c r="A28" s="100" t="s">
        <v>1141</v>
      </c>
      <c r="B28" s="100" t="s">
        <v>327</v>
      </c>
      <c r="C28" s="100" t="s">
        <v>328</v>
      </c>
      <c r="D28" s="100" t="s">
        <v>329</v>
      </c>
      <c r="E28" s="101" t="s">
        <v>330</v>
      </c>
      <c r="F28" s="100" t="s">
        <v>331</v>
      </c>
      <c r="G28" s="102" t="s">
        <v>194</v>
      </c>
      <c r="H28" s="100" t="s">
        <v>332</v>
      </c>
      <c r="I28" s="100" t="s">
        <v>333</v>
      </c>
      <c r="J28" s="100" t="s">
        <v>333</v>
      </c>
      <c r="K28" s="100" t="s">
        <v>333</v>
      </c>
      <c r="L28" s="100" t="s">
        <v>333</v>
      </c>
      <c r="M28" s="91"/>
      <c r="N28" s="91"/>
      <c r="O28" s="91"/>
      <c r="P28" s="100" t="s">
        <v>1141</v>
      </c>
      <c r="Q28" s="100" t="s">
        <v>327</v>
      </c>
      <c r="R28" s="100" t="s">
        <v>328</v>
      </c>
      <c r="S28" s="100" t="s">
        <v>1142</v>
      </c>
      <c r="T28" s="100" t="s">
        <v>329</v>
      </c>
      <c r="U28" s="100" t="s">
        <v>1143</v>
      </c>
      <c r="V28" s="102" t="s">
        <v>330</v>
      </c>
      <c r="W28" s="102" t="s">
        <v>1144</v>
      </c>
      <c r="X28" s="100" t="s">
        <v>331</v>
      </c>
      <c r="Y28" s="100" t="s">
        <v>194</v>
      </c>
      <c r="Z28" s="100" t="s">
        <v>331</v>
      </c>
      <c r="AA28" s="100" t="s">
        <v>331</v>
      </c>
      <c r="AB28" s="100" t="s">
        <v>1145</v>
      </c>
      <c r="AD28" s="97"/>
      <c r="AE28" s="91"/>
      <c r="AF28" s="97"/>
      <c r="AG28" s="97"/>
      <c r="AH28" s="91"/>
      <c r="AI28" s="97"/>
      <c r="AJ28" s="91"/>
      <c r="AK28" s="91"/>
      <c r="AL28" s="91"/>
      <c r="AO28" s="97"/>
      <c r="AP28" s="97"/>
      <c r="AQ28" s="97"/>
      <c r="AR28" s="97"/>
    </row>
    <row r="29" spans="1:53" s="197" customFormat="1" ht="12">
      <c r="A29" s="103" t="s">
        <v>1146</v>
      </c>
      <c r="B29" s="103"/>
      <c r="C29" s="103" t="s">
        <v>334</v>
      </c>
      <c r="D29" s="103" t="s">
        <v>336</v>
      </c>
      <c r="E29" s="96" t="s">
        <v>335</v>
      </c>
      <c r="F29" s="103" t="s">
        <v>337</v>
      </c>
      <c r="G29" s="104" t="s">
        <v>338</v>
      </c>
      <c r="H29" s="103" t="s">
        <v>98</v>
      </c>
      <c r="I29" s="103" t="s">
        <v>316</v>
      </c>
      <c r="J29" s="103" t="s">
        <v>317</v>
      </c>
      <c r="K29" s="103" t="s">
        <v>318</v>
      </c>
      <c r="L29" s="103" t="s">
        <v>359</v>
      </c>
      <c r="M29" s="91"/>
      <c r="N29" s="91"/>
      <c r="O29" s="91"/>
      <c r="P29" s="103" t="s">
        <v>1146</v>
      </c>
      <c r="Q29" s="103"/>
      <c r="R29" s="103" t="s">
        <v>385</v>
      </c>
      <c r="S29" s="103" t="s">
        <v>385</v>
      </c>
      <c r="T29" s="103" t="s">
        <v>336</v>
      </c>
      <c r="U29" s="103" t="s">
        <v>336</v>
      </c>
      <c r="V29" s="104" t="s">
        <v>1147</v>
      </c>
      <c r="W29" s="96" t="s">
        <v>1147</v>
      </c>
      <c r="X29" s="103" t="s">
        <v>1148</v>
      </c>
      <c r="Y29" s="103" t="s">
        <v>1149</v>
      </c>
      <c r="Z29" s="103" t="s">
        <v>1150</v>
      </c>
      <c r="AA29" s="103" t="s">
        <v>1151</v>
      </c>
      <c r="AB29" s="103" t="s">
        <v>1152</v>
      </c>
      <c r="AD29" s="97"/>
      <c r="AE29" s="91"/>
      <c r="AF29" s="97"/>
      <c r="AG29" s="97"/>
      <c r="AH29" s="91"/>
      <c r="AI29" s="97"/>
      <c r="AJ29" s="91"/>
      <c r="AK29" s="91"/>
      <c r="AL29" s="91"/>
      <c r="AO29" s="97"/>
      <c r="AP29" s="97"/>
      <c r="AQ29" s="97"/>
      <c r="AR29" s="97"/>
    </row>
    <row r="30" spans="1:53" s="197" customFormat="1" ht="12">
      <c r="A30" s="105"/>
      <c r="B30" s="105"/>
      <c r="C30" s="105" t="s">
        <v>339</v>
      </c>
      <c r="D30" s="105" t="s">
        <v>339</v>
      </c>
      <c r="E30" s="105" t="s">
        <v>339</v>
      </c>
      <c r="F30" s="105" t="s">
        <v>340</v>
      </c>
      <c r="G30" s="105" t="s">
        <v>341</v>
      </c>
      <c r="H30" s="105" t="s">
        <v>15</v>
      </c>
      <c r="I30" s="105" t="s">
        <v>15</v>
      </c>
      <c r="J30" s="105" t="s">
        <v>15</v>
      </c>
      <c r="K30" s="105" t="s">
        <v>15</v>
      </c>
      <c r="L30" s="105" t="s">
        <v>15</v>
      </c>
      <c r="M30" s="91"/>
      <c r="N30" s="91"/>
      <c r="O30" s="91"/>
      <c r="P30" s="105"/>
      <c r="Q30" s="105"/>
      <c r="R30" s="105" t="s">
        <v>339</v>
      </c>
      <c r="S30" s="105" t="s">
        <v>339</v>
      </c>
      <c r="T30" s="105" t="s">
        <v>339</v>
      </c>
      <c r="U30" s="105" t="s">
        <v>339</v>
      </c>
      <c r="V30" s="105" t="s">
        <v>339</v>
      </c>
      <c r="W30" s="105" t="s">
        <v>339</v>
      </c>
      <c r="X30" s="105" t="s">
        <v>340</v>
      </c>
      <c r="Y30" s="105" t="s">
        <v>341</v>
      </c>
      <c r="Z30" s="105" t="s">
        <v>340</v>
      </c>
      <c r="AA30" s="105" t="s">
        <v>340</v>
      </c>
      <c r="AB30" s="105" t="s">
        <v>340</v>
      </c>
      <c r="AD30" s="97"/>
      <c r="AE30" s="91"/>
      <c r="AF30" s="97"/>
      <c r="AG30" s="97"/>
      <c r="AH30" s="91"/>
      <c r="AI30" s="97"/>
      <c r="AJ30" s="91"/>
      <c r="AK30" s="91"/>
      <c r="AL30" s="91"/>
      <c r="AO30" s="97"/>
      <c r="AP30" s="97"/>
      <c r="AQ30" s="97"/>
      <c r="AR30" s="97"/>
    </row>
    <row r="31" spans="1:53" s="197" customFormat="1" ht="12">
      <c r="A31" s="105" t="s">
        <v>1324</v>
      </c>
      <c r="B31" s="105">
        <v>38</v>
      </c>
      <c r="C31" s="105">
        <v>0.8</v>
      </c>
      <c r="D31" s="105">
        <v>0.8</v>
      </c>
      <c r="E31" s="105">
        <v>0.8</v>
      </c>
      <c r="F31" s="106">
        <f>C31*D31*E31*B31</f>
        <v>19.456000000000003</v>
      </c>
      <c r="G31" s="106">
        <f>(2*(C31+D31)*E31)*B31</f>
        <v>97.280000000000015</v>
      </c>
      <c r="H31" s="105">
        <v>583.29999999999995</v>
      </c>
      <c r="I31" s="105"/>
      <c r="J31" s="105"/>
      <c r="K31" s="105">
        <v>686.28</v>
      </c>
      <c r="L31" s="105"/>
      <c r="M31" s="91"/>
      <c r="N31" s="91"/>
      <c r="O31" s="91"/>
      <c r="P31" s="106" t="str">
        <f t="shared" ref="P31:R38" si="2">A31</f>
        <v>B15-B66</v>
      </c>
      <c r="Q31" s="106">
        <f t="shared" si="2"/>
        <v>38</v>
      </c>
      <c r="R31" s="106">
        <f t="shared" si="2"/>
        <v>0.8</v>
      </c>
      <c r="S31" s="106">
        <v>0.3</v>
      </c>
      <c r="T31" s="106">
        <f t="shared" ref="T31:T38" si="3">D31</f>
        <v>0.8</v>
      </c>
      <c r="U31" s="106">
        <v>0.3</v>
      </c>
      <c r="V31" s="106">
        <f t="shared" ref="V31:V38" si="4">E31</f>
        <v>0.8</v>
      </c>
      <c r="W31" s="107">
        <v>0.05</v>
      </c>
      <c r="X31" s="107">
        <f t="shared" ref="X31:X38" si="5">((R31+S31)*(T31+U31)*(V31+W31))*Q31</f>
        <v>39.083000000000006</v>
      </c>
      <c r="Y31" s="106">
        <f t="shared" ref="Y31:Y38" si="6">((R31+S31)*(T31+U31))*Q31</f>
        <v>45.980000000000004</v>
      </c>
      <c r="Z31" s="106">
        <f>((R31+S31)*(T31+U31))*W31*Q31</f>
        <v>2.2990000000000004</v>
      </c>
      <c r="AA31" s="106">
        <f t="shared" ref="AA31:AA38" si="7">X31-(F31+Z31)</f>
        <v>17.328000000000003</v>
      </c>
      <c r="AB31" s="106">
        <f>X31*1.3</f>
        <v>50.807900000000011</v>
      </c>
      <c r="AD31" s="97"/>
      <c r="AE31" s="91"/>
      <c r="AF31" s="97"/>
      <c r="AG31" s="97"/>
      <c r="AH31" s="91"/>
      <c r="AI31" s="97"/>
      <c r="AJ31" s="91"/>
      <c r="AK31" s="91"/>
      <c r="AL31" s="91"/>
      <c r="AO31" s="97"/>
      <c r="AP31" s="97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</row>
    <row r="32" spans="1:53" s="197" customFormat="1" ht="12">
      <c r="A32" s="105" t="s">
        <v>1325</v>
      </c>
      <c r="B32" s="105">
        <v>11</v>
      </c>
      <c r="C32" s="105">
        <v>1.6</v>
      </c>
      <c r="D32" s="105">
        <v>0.7</v>
      </c>
      <c r="E32" s="105">
        <v>0.8</v>
      </c>
      <c r="F32" s="106">
        <f t="shared" ref="F32:F37" si="8">C32*D32*E32*B32</f>
        <v>9.8559999999999981</v>
      </c>
      <c r="G32" s="106">
        <f t="shared" ref="G32:G37" si="9">(2*(C32+D32)*E32)*B32</f>
        <v>40.479999999999997</v>
      </c>
      <c r="H32" s="105">
        <v>450.01</v>
      </c>
      <c r="I32" s="105"/>
      <c r="J32" s="105"/>
      <c r="K32" s="105">
        <v>112.2</v>
      </c>
      <c r="L32" s="105"/>
      <c r="M32" s="91"/>
      <c r="N32" s="91"/>
      <c r="O32" s="91"/>
      <c r="P32" s="106" t="str">
        <f t="shared" si="2"/>
        <v>B16-B62</v>
      </c>
      <c r="Q32" s="106">
        <f t="shared" si="2"/>
        <v>11</v>
      </c>
      <c r="R32" s="106">
        <f t="shared" si="2"/>
        <v>1.6</v>
      </c>
      <c r="S32" s="106">
        <v>0.3</v>
      </c>
      <c r="T32" s="106">
        <f t="shared" si="3"/>
        <v>0.7</v>
      </c>
      <c r="U32" s="106">
        <v>0.3</v>
      </c>
      <c r="V32" s="106">
        <f t="shared" si="4"/>
        <v>0.8</v>
      </c>
      <c r="W32" s="107">
        <v>0.05</v>
      </c>
      <c r="X32" s="107">
        <f t="shared" si="5"/>
        <v>17.765000000000001</v>
      </c>
      <c r="Y32" s="106">
        <f t="shared" si="6"/>
        <v>20.900000000000002</v>
      </c>
      <c r="Z32" s="106">
        <f t="shared" ref="Z32:Z38" si="10">((R32+S32)*(T32+U32))*W32*Q32</f>
        <v>1.0450000000000002</v>
      </c>
      <c r="AA32" s="106">
        <f t="shared" si="7"/>
        <v>6.8640000000000025</v>
      </c>
      <c r="AB32" s="106">
        <f t="shared" ref="AB32:AB38" si="11">X32*1.3</f>
        <v>23.0945</v>
      </c>
      <c r="AD32" s="97"/>
      <c r="AE32" s="91"/>
      <c r="AF32" s="97"/>
      <c r="AG32" s="97"/>
      <c r="AH32" s="91"/>
      <c r="AI32" s="97"/>
      <c r="AJ32" s="91"/>
      <c r="AK32" s="91"/>
      <c r="AL32" s="91"/>
      <c r="AO32" s="97"/>
      <c r="AP32" s="97"/>
      <c r="AQ32" s="97"/>
    </row>
    <row r="33" spans="1:44" s="197" customFormat="1" ht="12">
      <c r="A33" s="105" t="s">
        <v>1326</v>
      </c>
      <c r="B33" s="105">
        <v>2</v>
      </c>
      <c r="C33" s="105">
        <v>1.2</v>
      </c>
      <c r="D33" s="105">
        <v>0.8</v>
      </c>
      <c r="E33" s="105">
        <v>0.5</v>
      </c>
      <c r="F33" s="106">
        <f t="shared" si="8"/>
        <v>0.96</v>
      </c>
      <c r="G33" s="106">
        <f t="shared" si="9"/>
        <v>4</v>
      </c>
      <c r="H33" s="105">
        <v>23.22</v>
      </c>
      <c r="I33" s="105"/>
      <c r="J33" s="105"/>
      <c r="K33" s="105">
        <v>43.4</v>
      </c>
      <c r="L33" s="105"/>
      <c r="M33" s="91"/>
      <c r="N33" s="91"/>
      <c r="O33" s="91"/>
      <c r="P33" s="106" t="str">
        <f t="shared" si="2"/>
        <v>BA1-BA2</v>
      </c>
      <c r="Q33" s="106">
        <f t="shared" si="2"/>
        <v>2</v>
      </c>
      <c r="R33" s="106">
        <f t="shared" si="2"/>
        <v>1.2</v>
      </c>
      <c r="S33" s="106">
        <v>0.3</v>
      </c>
      <c r="T33" s="106">
        <f t="shared" si="3"/>
        <v>0.8</v>
      </c>
      <c r="U33" s="106">
        <v>0.3</v>
      </c>
      <c r="V33" s="106">
        <f t="shared" si="4"/>
        <v>0.5</v>
      </c>
      <c r="W33" s="107">
        <v>0.05</v>
      </c>
      <c r="X33" s="107">
        <f t="shared" si="5"/>
        <v>1.8150000000000004</v>
      </c>
      <c r="Y33" s="106">
        <f t="shared" si="6"/>
        <v>3.3000000000000003</v>
      </c>
      <c r="Z33" s="106">
        <f t="shared" si="10"/>
        <v>0.16500000000000004</v>
      </c>
      <c r="AA33" s="106">
        <f t="shared" si="7"/>
        <v>0.69000000000000039</v>
      </c>
      <c r="AB33" s="106">
        <f t="shared" si="11"/>
        <v>2.3595000000000006</v>
      </c>
      <c r="AD33" s="97"/>
      <c r="AE33" s="91"/>
      <c r="AF33" s="97"/>
      <c r="AG33" s="97"/>
      <c r="AH33" s="91"/>
      <c r="AI33" s="97"/>
      <c r="AJ33" s="91"/>
      <c r="AK33" s="91"/>
      <c r="AL33" s="91"/>
      <c r="AO33" s="97"/>
      <c r="AP33" s="97"/>
      <c r="AQ33" s="97"/>
    </row>
    <row r="34" spans="1:44" s="197" customFormat="1" ht="12">
      <c r="A34" s="105" t="s">
        <v>1327</v>
      </c>
      <c r="B34" s="105">
        <v>2</v>
      </c>
      <c r="C34" s="105">
        <v>1.72</v>
      </c>
      <c r="D34" s="105">
        <v>1</v>
      </c>
      <c r="E34" s="105">
        <v>0.8</v>
      </c>
      <c r="F34" s="106">
        <f>C34*D34*E34*B34</f>
        <v>2.7520000000000002</v>
      </c>
      <c r="G34" s="106">
        <f>5.12*E34*B34</f>
        <v>8.1920000000000002</v>
      </c>
      <c r="H34" s="105">
        <v>207.16</v>
      </c>
      <c r="I34" s="105"/>
      <c r="J34" s="105">
        <v>67.680000000000007</v>
      </c>
      <c r="K34" s="105"/>
      <c r="L34" s="105"/>
      <c r="M34" s="91"/>
      <c r="N34" s="91"/>
      <c r="O34" s="91"/>
      <c r="P34" s="106" t="str">
        <f t="shared" si="2"/>
        <v>B34-B46</v>
      </c>
      <c r="Q34" s="106">
        <f t="shared" si="2"/>
        <v>2</v>
      </c>
      <c r="R34" s="106">
        <f t="shared" si="2"/>
        <v>1.72</v>
      </c>
      <c r="S34" s="106">
        <v>0.3</v>
      </c>
      <c r="T34" s="106">
        <f t="shared" si="3"/>
        <v>1</v>
      </c>
      <c r="U34" s="106">
        <v>0.3</v>
      </c>
      <c r="V34" s="106">
        <f t="shared" si="4"/>
        <v>0.8</v>
      </c>
      <c r="W34" s="107">
        <v>0.05</v>
      </c>
      <c r="X34" s="107">
        <f t="shared" si="5"/>
        <v>4.4642000000000008</v>
      </c>
      <c r="Y34" s="106">
        <f t="shared" si="6"/>
        <v>5.2520000000000007</v>
      </c>
      <c r="Z34" s="106">
        <f t="shared" si="10"/>
        <v>0.26260000000000006</v>
      </c>
      <c r="AA34" s="106">
        <f t="shared" si="7"/>
        <v>1.4496000000000007</v>
      </c>
      <c r="AB34" s="106">
        <f t="shared" si="11"/>
        <v>5.8034600000000012</v>
      </c>
      <c r="AD34" s="97"/>
      <c r="AE34" s="91"/>
      <c r="AF34" s="97"/>
      <c r="AG34" s="97"/>
      <c r="AH34" s="91"/>
      <c r="AI34" s="97"/>
      <c r="AJ34" s="91"/>
      <c r="AK34" s="91"/>
      <c r="AL34" s="91"/>
      <c r="AO34" s="97"/>
      <c r="AP34" s="97"/>
      <c r="AQ34" s="97"/>
    </row>
    <row r="35" spans="1:44" s="197" customFormat="1" ht="12">
      <c r="A35" s="199" t="s">
        <v>1328</v>
      </c>
      <c r="B35" s="105">
        <v>28</v>
      </c>
      <c r="C35" s="105">
        <v>4</v>
      </c>
      <c r="D35" s="105">
        <v>2</v>
      </c>
      <c r="E35" s="105">
        <v>0.8</v>
      </c>
      <c r="F35" s="106">
        <f t="shared" si="8"/>
        <v>179.20000000000002</v>
      </c>
      <c r="G35" s="106">
        <f t="shared" si="9"/>
        <v>268.80000000000007</v>
      </c>
      <c r="H35" s="105">
        <v>9483.06</v>
      </c>
      <c r="I35" s="105"/>
      <c r="J35" s="105">
        <v>2231.04</v>
      </c>
      <c r="K35" s="105"/>
      <c r="L35" s="105"/>
      <c r="M35" s="91"/>
      <c r="N35" s="91"/>
      <c r="O35" s="91"/>
      <c r="P35" s="106" t="str">
        <f t="shared" si="2"/>
        <v>B1-B80</v>
      </c>
      <c r="Q35" s="106">
        <f t="shared" si="2"/>
        <v>28</v>
      </c>
      <c r="R35" s="106">
        <f t="shared" si="2"/>
        <v>4</v>
      </c>
      <c r="S35" s="106">
        <v>0.3</v>
      </c>
      <c r="T35" s="106">
        <f t="shared" si="3"/>
        <v>2</v>
      </c>
      <c r="U35" s="106">
        <v>0.3</v>
      </c>
      <c r="V35" s="106">
        <f t="shared" si="4"/>
        <v>0.8</v>
      </c>
      <c r="W35" s="107">
        <v>0.05</v>
      </c>
      <c r="X35" s="107">
        <f t="shared" si="5"/>
        <v>235.38199999999998</v>
      </c>
      <c r="Y35" s="106">
        <f t="shared" si="6"/>
        <v>276.91999999999996</v>
      </c>
      <c r="Z35" s="106">
        <f t="shared" si="10"/>
        <v>13.845999999999998</v>
      </c>
      <c r="AA35" s="106">
        <f t="shared" si="7"/>
        <v>42.335999999999956</v>
      </c>
      <c r="AB35" s="106">
        <f t="shared" si="11"/>
        <v>305.9966</v>
      </c>
      <c r="AD35" s="97"/>
      <c r="AE35" s="97"/>
      <c r="AF35" s="97"/>
      <c r="AG35" s="91"/>
      <c r="AH35" s="97"/>
      <c r="AI35" s="91"/>
      <c r="AJ35" s="91"/>
      <c r="AK35" s="97"/>
      <c r="AO35" s="97"/>
      <c r="AP35" s="97"/>
      <c r="AQ35" s="97"/>
    </row>
    <row r="36" spans="1:44" s="197" customFormat="1" ht="12">
      <c r="A36" s="105" t="s">
        <v>1153</v>
      </c>
      <c r="B36" s="105">
        <v>1</v>
      </c>
      <c r="C36" s="105">
        <v>2.5</v>
      </c>
      <c r="D36" s="105">
        <v>2.5</v>
      </c>
      <c r="E36" s="105">
        <v>1.1000000000000001</v>
      </c>
      <c r="F36" s="106">
        <f t="shared" si="8"/>
        <v>6.8750000000000009</v>
      </c>
      <c r="G36" s="106">
        <f t="shared" si="9"/>
        <v>11</v>
      </c>
      <c r="H36" s="105">
        <v>317.27999999999997</v>
      </c>
      <c r="I36" s="105"/>
      <c r="J36" s="105"/>
      <c r="K36" s="105"/>
      <c r="L36" s="105"/>
      <c r="M36" s="91"/>
      <c r="N36" s="91"/>
      <c r="O36" s="91"/>
      <c r="P36" s="106" t="str">
        <f t="shared" si="2"/>
        <v>B47</v>
      </c>
      <c r="Q36" s="106">
        <f t="shared" si="2"/>
        <v>1</v>
      </c>
      <c r="R36" s="106">
        <f t="shared" si="2"/>
        <v>2.5</v>
      </c>
      <c r="S36" s="106">
        <v>0.3</v>
      </c>
      <c r="T36" s="106">
        <f t="shared" si="3"/>
        <v>2.5</v>
      </c>
      <c r="U36" s="106">
        <v>0.3</v>
      </c>
      <c r="V36" s="106">
        <f t="shared" si="4"/>
        <v>1.1000000000000001</v>
      </c>
      <c r="W36" s="107">
        <v>0.05</v>
      </c>
      <c r="X36" s="107">
        <f t="shared" si="5"/>
        <v>9.016</v>
      </c>
      <c r="Y36" s="106">
        <f t="shared" si="6"/>
        <v>7.839999999999999</v>
      </c>
      <c r="Z36" s="106">
        <f t="shared" si="10"/>
        <v>0.39199999999999996</v>
      </c>
      <c r="AA36" s="106">
        <f t="shared" si="7"/>
        <v>1.7489999999999988</v>
      </c>
      <c r="AB36" s="106">
        <f t="shared" si="11"/>
        <v>11.720800000000001</v>
      </c>
      <c r="AD36" s="97"/>
      <c r="AE36" s="97"/>
      <c r="AF36" s="97"/>
      <c r="AG36" s="91"/>
      <c r="AH36" s="97"/>
      <c r="AI36" s="91"/>
      <c r="AJ36" s="91"/>
      <c r="AK36" s="97"/>
      <c r="AO36" s="97"/>
      <c r="AP36" s="97"/>
      <c r="AQ36" s="97"/>
    </row>
    <row r="37" spans="1:44" s="197" customFormat="1" ht="12">
      <c r="A37" s="105"/>
      <c r="B37" s="105"/>
      <c r="C37" s="105"/>
      <c r="D37" s="105"/>
      <c r="E37" s="105"/>
      <c r="F37" s="106">
        <f t="shared" si="8"/>
        <v>0</v>
      </c>
      <c r="G37" s="106">
        <f t="shared" si="9"/>
        <v>0</v>
      </c>
      <c r="H37" s="105"/>
      <c r="I37" s="105"/>
      <c r="J37" s="105"/>
      <c r="K37" s="105"/>
      <c r="L37" s="105"/>
      <c r="M37" s="91"/>
      <c r="N37" s="91"/>
      <c r="O37" s="91"/>
      <c r="P37" s="106">
        <f t="shared" si="2"/>
        <v>0</v>
      </c>
      <c r="Q37" s="106">
        <f t="shared" si="2"/>
        <v>0</v>
      </c>
      <c r="R37" s="106">
        <f t="shared" si="2"/>
        <v>0</v>
      </c>
      <c r="S37" s="106">
        <v>0.3</v>
      </c>
      <c r="T37" s="106">
        <f t="shared" si="3"/>
        <v>0</v>
      </c>
      <c r="U37" s="106">
        <v>0.3</v>
      </c>
      <c r="V37" s="106">
        <f t="shared" si="4"/>
        <v>0</v>
      </c>
      <c r="W37" s="107">
        <v>0.05</v>
      </c>
      <c r="X37" s="107">
        <f t="shared" si="5"/>
        <v>0</v>
      </c>
      <c r="Y37" s="106">
        <f t="shared" si="6"/>
        <v>0</v>
      </c>
      <c r="Z37" s="106">
        <f t="shared" si="10"/>
        <v>0</v>
      </c>
      <c r="AA37" s="106">
        <f t="shared" si="7"/>
        <v>0</v>
      </c>
      <c r="AB37" s="106">
        <f t="shared" si="11"/>
        <v>0</v>
      </c>
      <c r="AD37" s="97"/>
      <c r="AE37" s="97"/>
      <c r="AF37" s="97"/>
      <c r="AG37" s="91"/>
      <c r="AH37" s="97"/>
      <c r="AI37" s="91"/>
      <c r="AJ37" s="91"/>
      <c r="AK37" s="97"/>
      <c r="AO37" s="97"/>
      <c r="AP37" s="97"/>
      <c r="AQ37" s="97"/>
    </row>
    <row r="38" spans="1:44" s="197" customFormat="1" ht="12">
      <c r="A38" s="105"/>
      <c r="B38" s="105"/>
      <c r="C38" s="105"/>
      <c r="D38" s="105"/>
      <c r="E38" s="105"/>
      <c r="F38" s="106">
        <f>C38*D38*E38*B38</f>
        <v>0</v>
      </c>
      <c r="G38" s="106">
        <f>(2*(C38+D38)*E38)*B38</f>
        <v>0</v>
      </c>
      <c r="H38" s="105"/>
      <c r="I38" s="105"/>
      <c r="J38" s="105"/>
      <c r="K38" s="105"/>
      <c r="L38" s="105"/>
      <c r="M38" s="91"/>
      <c r="N38" s="91"/>
      <c r="O38" s="91"/>
      <c r="P38" s="106">
        <f t="shared" si="2"/>
        <v>0</v>
      </c>
      <c r="Q38" s="106">
        <f t="shared" si="2"/>
        <v>0</v>
      </c>
      <c r="R38" s="106">
        <f t="shared" si="2"/>
        <v>0</v>
      </c>
      <c r="S38" s="106">
        <v>0.3</v>
      </c>
      <c r="T38" s="106">
        <f t="shared" si="3"/>
        <v>0</v>
      </c>
      <c r="U38" s="106">
        <v>0.3</v>
      </c>
      <c r="V38" s="106">
        <f t="shared" si="4"/>
        <v>0</v>
      </c>
      <c r="W38" s="107">
        <v>0.05</v>
      </c>
      <c r="X38" s="107">
        <f t="shared" si="5"/>
        <v>0</v>
      </c>
      <c r="Y38" s="106">
        <f t="shared" si="6"/>
        <v>0</v>
      </c>
      <c r="Z38" s="106">
        <f t="shared" si="10"/>
        <v>0</v>
      </c>
      <c r="AA38" s="106">
        <f t="shared" si="7"/>
        <v>0</v>
      </c>
      <c r="AB38" s="106">
        <f t="shared" si="11"/>
        <v>0</v>
      </c>
      <c r="AD38" s="97"/>
      <c r="AE38" s="97"/>
      <c r="AF38" s="97"/>
      <c r="AG38" s="91"/>
      <c r="AH38" s="97"/>
      <c r="AI38" s="91"/>
      <c r="AJ38" s="91"/>
      <c r="AK38" s="97"/>
      <c r="AM38" s="97"/>
      <c r="AP38" s="97"/>
      <c r="AQ38" s="97"/>
    </row>
    <row r="39" spans="1:44" s="197" customFormat="1" ht="12">
      <c r="A39" s="108" t="s">
        <v>342</v>
      </c>
      <c r="B39" s="109"/>
      <c r="C39" s="110"/>
      <c r="D39" s="110"/>
      <c r="E39" s="110"/>
      <c r="F39" s="105">
        <f t="shared" ref="F39:L39" si="12">SUM(F31:F38)</f>
        <v>219.09900000000002</v>
      </c>
      <c r="G39" s="105">
        <f t="shared" si="12"/>
        <v>429.75200000000007</v>
      </c>
      <c r="H39" s="105">
        <f t="shared" si="12"/>
        <v>11064.03</v>
      </c>
      <c r="I39" s="105">
        <f t="shared" si="12"/>
        <v>0</v>
      </c>
      <c r="J39" s="105">
        <f t="shared" si="12"/>
        <v>2298.7199999999998</v>
      </c>
      <c r="K39" s="105">
        <f t="shared" si="12"/>
        <v>841.88</v>
      </c>
      <c r="L39" s="105">
        <f t="shared" si="12"/>
        <v>0</v>
      </c>
      <c r="M39" s="91"/>
      <c r="N39" s="91"/>
      <c r="O39" s="91"/>
      <c r="P39" s="108" t="s">
        <v>342</v>
      </c>
      <c r="Q39" s="109"/>
      <c r="R39" s="110"/>
      <c r="S39" s="110"/>
      <c r="T39" s="110"/>
      <c r="U39" s="110"/>
      <c r="V39" s="110"/>
      <c r="W39" s="110"/>
      <c r="X39" s="107">
        <f>SUM(X31:X38)</f>
        <v>307.52519999999998</v>
      </c>
      <c r="Y39" s="105">
        <f>SUM(Y31:Y38)</f>
        <v>360.19199999999995</v>
      </c>
      <c r="Z39" s="105">
        <f>SUM(Z31:Z38)</f>
        <v>18.009599999999999</v>
      </c>
      <c r="AA39" s="105">
        <f>SUM(AA31:AA38)</f>
        <v>70.41659999999996</v>
      </c>
      <c r="AB39" s="105">
        <f>SUM(AB31:AB38)</f>
        <v>399.78276</v>
      </c>
      <c r="AD39" s="97"/>
      <c r="AE39" s="97"/>
      <c r="AF39" s="97"/>
      <c r="AG39" s="91"/>
      <c r="AH39" s="97"/>
      <c r="AI39" s="91"/>
      <c r="AJ39" s="91"/>
      <c r="AK39" s="97"/>
      <c r="AM39" s="97"/>
      <c r="AP39" s="97"/>
      <c r="AQ39" s="97"/>
    </row>
    <row r="40" spans="1:44" s="197" customFormat="1">
      <c r="A40" s="1000" t="s">
        <v>1154</v>
      </c>
      <c r="B40" s="1000"/>
      <c r="C40" s="1000"/>
      <c r="D40" s="1000"/>
      <c r="E40" s="1000"/>
      <c r="F40" s="1000"/>
      <c r="G40" s="1000"/>
      <c r="H40" s="106">
        <f>H39*1.1*0.154</f>
        <v>1874.2466820000002</v>
      </c>
      <c r="I40" s="106">
        <f>I39*1.1*0.245</f>
        <v>0</v>
      </c>
      <c r="J40" s="106">
        <f>J39*1.1*0.395</f>
        <v>998.79384000000005</v>
      </c>
      <c r="K40" s="106">
        <f>K39*1.1*0.617</f>
        <v>571.38395600000001</v>
      </c>
      <c r="L40" s="106">
        <f>L39*1.1*0.963</f>
        <v>0</v>
      </c>
      <c r="M40" s="91"/>
      <c r="N40" s="91"/>
      <c r="O40" s="91"/>
      <c r="P40" s="200"/>
      <c r="Q40" s="200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D40" s="97"/>
      <c r="AE40" s="97"/>
      <c r="AF40" s="97"/>
      <c r="AG40" s="91"/>
      <c r="AH40" s="97"/>
      <c r="AI40" s="91"/>
      <c r="AJ40" s="91"/>
      <c r="AK40" s="97"/>
      <c r="AM40" s="97"/>
      <c r="AP40" s="97"/>
      <c r="AQ40" s="97"/>
    </row>
    <row r="41" spans="1:44" s="197" customFormat="1" ht="12">
      <c r="A41" s="94" t="s">
        <v>1155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4" t="s">
        <v>1155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D41" s="97"/>
      <c r="AE41" s="97"/>
      <c r="AF41" s="97"/>
      <c r="AG41" s="91"/>
      <c r="AH41" s="97"/>
      <c r="AI41" s="91"/>
      <c r="AJ41" s="91"/>
      <c r="AK41" s="97"/>
      <c r="AM41" s="97"/>
      <c r="AP41" s="97"/>
      <c r="AQ41" s="97"/>
      <c r="AR41" s="97"/>
    </row>
  </sheetData>
  <mergeCells count="32">
    <mergeCell ref="A40:G40"/>
    <mergeCell ref="A5:A6"/>
    <mergeCell ref="A7:A8"/>
    <mergeCell ref="A9:A10"/>
    <mergeCell ref="A11:A12"/>
    <mergeCell ref="A13:A14"/>
    <mergeCell ref="A15:A16"/>
    <mergeCell ref="B13:B14"/>
    <mergeCell ref="C13:C14"/>
    <mergeCell ref="D13:D14"/>
    <mergeCell ref="B9:B10"/>
    <mergeCell ref="C9:C10"/>
    <mergeCell ref="D9:D10"/>
    <mergeCell ref="B7:B8"/>
    <mergeCell ref="C7:C8"/>
    <mergeCell ref="D7:D8"/>
    <mergeCell ref="J13:J14"/>
    <mergeCell ref="B15:B16"/>
    <mergeCell ref="C15:C16"/>
    <mergeCell ref="D15:D16"/>
    <mergeCell ref="J15:J16"/>
    <mergeCell ref="J9:J10"/>
    <mergeCell ref="B11:B12"/>
    <mergeCell ref="C11:C12"/>
    <mergeCell ref="D11:D12"/>
    <mergeCell ref="J11:J12"/>
    <mergeCell ref="J7:J8"/>
    <mergeCell ref="A2:K2"/>
    <mergeCell ref="B5:B6"/>
    <mergeCell ref="C5:C6"/>
    <mergeCell ref="D5:D6"/>
    <mergeCell ref="J5:J6"/>
  </mergeCells>
  <pageMargins left="0.511811024" right="0.511811024" top="0.78740157499999996" bottom="0.78740157499999996" header="0.31496062000000002" footer="0.31496062000000002"/>
  <ignoredErrors>
    <ignoredError sqref="H6:H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H20" sqref="H20"/>
    </sheetView>
  </sheetViews>
  <sheetFormatPr defaultRowHeight="12.75"/>
  <cols>
    <col min="1" max="1" width="8" style="505" bestFit="1" customWidth="1"/>
    <col min="2" max="2" width="5.85546875" style="505" bestFit="1" customWidth="1"/>
    <col min="3" max="3" width="4.140625" style="505" customWidth="1"/>
    <col min="4" max="4" width="2.28515625" style="505" customWidth="1"/>
    <col min="5" max="8" width="11.7109375" style="505" customWidth="1"/>
    <col min="9" max="9" width="6.7109375" style="505" bestFit="1" customWidth="1"/>
    <col min="10" max="11" width="11.7109375" style="505" customWidth="1"/>
    <col min="12" max="12" width="12.7109375" style="505" bestFit="1" customWidth="1"/>
    <col min="13" max="13" width="14.42578125" style="505" customWidth="1"/>
    <col min="14" max="18" width="4.140625" style="505" customWidth="1"/>
    <col min="19" max="256" width="8.85546875" style="505"/>
    <col min="257" max="257" width="8" style="505" bestFit="1" customWidth="1"/>
    <col min="258" max="258" width="5.85546875" style="505" bestFit="1" customWidth="1"/>
    <col min="259" max="259" width="4.140625" style="505" customWidth="1"/>
    <col min="260" max="260" width="2.28515625" style="505" customWidth="1"/>
    <col min="261" max="264" width="11.7109375" style="505" customWidth="1"/>
    <col min="265" max="265" width="6.7109375" style="505" bestFit="1" customWidth="1"/>
    <col min="266" max="267" width="11.7109375" style="505" customWidth="1"/>
    <col min="268" max="268" width="12.7109375" style="505" bestFit="1" customWidth="1"/>
    <col min="269" max="269" width="14.42578125" style="505" customWidth="1"/>
    <col min="270" max="274" width="4.140625" style="505" customWidth="1"/>
    <col min="275" max="512" width="8.85546875" style="505"/>
    <col min="513" max="513" width="8" style="505" bestFit="1" customWidth="1"/>
    <col min="514" max="514" width="5.85546875" style="505" bestFit="1" customWidth="1"/>
    <col min="515" max="515" width="4.140625" style="505" customWidth="1"/>
    <col min="516" max="516" width="2.28515625" style="505" customWidth="1"/>
    <col min="517" max="520" width="11.7109375" style="505" customWidth="1"/>
    <col min="521" max="521" width="6.7109375" style="505" bestFit="1" customWidth="1"/>
    <col min="522" max="523" width="11.7109375" style="505" customWidth="1"/>
    <col min="524" max="524" width="12.7109375" style="505" bestFit="1" customWidth="1"/>
    <col min="525" max="525" width="14.42578125" style="505" customWidth="1"/>
    <col min="526" max="530" width="4.140625" style="505" customWidth="1"/>
    <col min="531" max="768" width="8.85546875" style="505"/>
    <col min="769" max="769" width="8" style="505" bestFit="1" customWidth="1"/>
    <col min="770" max="770" width="5.85546875" style="505" bestFit="1" customWidth="1"/>
    <col min="771" max="771" width="4.140625" style="505" customWidth="1"/>
    <col min="772" max="772" width="2.28515625" style="505" customWidth="1"/>
    <col min="773" max="776" width="11.7109375" style="505" customWidth="1"/>
    <col min="777" max="777" width="6.7109375" style="505" bestFit="1" customWidth="1"/>
    <col min="778" max="779" width="11.7109375" style="505" customWidth="1"/>
    <col min="780" max="780" width="12.7109375" style="505" bestFit="1" customWidth="1"/>
    <col min="781" max="781" width="14.42578125" style="505" customWidth="1"/>
    <col min="782" max="786" width="4.140625" style="505" customWidth="1"/>
    <col min="787" max="1024" width="8.85546875" style="505"/>
    <col min="1025" max="1025" width="8" style="505" bestFit="1" customWidth="1"/>
    <col min="1026" max="1026" width="5.85546875" style="505" bestFit="1" customWidth="1"/>
    <col min="1027" max="1027" width="4.140625" style="505" customWidth="1"/>
    <col min="1028" max="1028" width="2.28515625" style="505" customWidth="1"/>
    <col min="1029" max="1032" width="11.7109375" style="505" customWidth="1"/>
    <col min="1033" max="1033" width="6.7109375" style="505" bestFit="1" customWidth="1"/>
    <col min="1034" max="1035" width="11.7109375" style="505" customWidth="1"/>
    <col min="1036" max="1036" width="12.7109375" style="505" bestFit="1" customWidth="1"/>
    <col min="1037" max="1037" width="14.42578125" style="505" customWidth="1"/>
    <col min="1038" max="1042" width="4.140625" style="505" customWidth="1"/>
    <col min="1043" max="1280" width="8.85546875" style="505"/>
    <col min="1281" max="1281" width="8" style="505" bestFit="1" customWidth="1"/>
    <col min="1282" max="1282" width="5.85546875" style="505" bestFit="1" customWidth="1"/>
    <col min="1283" max="1283" width="4.140625" style="505" customWidth="1"/>
    <col min="1284" max="1284" width="2.28515625" style="505" customWidth="1"/>
    <col min="1285" max="1288" width="11.7109375" style="505" customWidth="1"/>
    <col min="1289" max="1289" width="6.7109375" style="505" bestFit="1" customWidth="1"/>
    <col min="1290" max="1291" width="11.7109375" style="505" customWidth="1"/>
    <col min="1292" max="1292" width="12.7109375" style="505" bestFit="1" customWidth="1"/>
    <col min="1293" max="1293" width="14.42578125" style="505" customWidth="1"/>
    <col min="1294" max="1298" width="4.140625" style="505" customWidth="1"/>
    <col min="1299" max="1536" width="8.85546875" style="505"/>
    <col min="1537" max="1537" width="8" style="505" bestFit="1" customWidth="1"/>
    <col min="1538" max="1538" width="5.85546875" style="505" bestFit="1" customWidth="1"/>
    <col min="1539" max="1539" width="4.140625" style="505" customWidth="1"/>
    <col min="1540" max="1540" width="2.28515625" style="505" customWidth="1"/>
    <col min="1541" max="1544" width="11.7109375" style="505" customWidth="1"/>
    <col min="1545" max="1545" width="6.7109375" style="505" bestFit="1" customWidth="1"/>
    <col min="1546" max="1547" width="11.7109375" style="505" customWidth="1"/>
    <col min="1548" max="1548" width="12.7109375" style="505" bestFit="1" customWidth="1"/>
    <col min="1549" max="1549" width="14.42578125" style="505" customWidth="1"/>
    <col min="1550" max="1554" width="4.140625" style="505" customWidth="1"/>
    <col min="1555" max="1792" width="8.85546875" style="505"/>
    <col min="1793" max="1793" width="8" style="505" bestFit="1" customWidth="1"/>
    <col min="1794" max="1794" width="5.85546875" style="505" bestFit="1" customWidth="1"/>
    <col min="1795" max="1795" width="4.140625" style="505" customWidth="1"/>
    <col min="1796" max="1796" width="2.28515625" style="505" customWidth="1"/>
    <col min="1797" max="1800" width="11.7109375" style="505" customWidth="1"/>
    <col min="1801" max="1801" width="6.7109375" style="505" bestFit="1" customWidth="1"/>
    <col min="1802" max="1803" width="11.7109375" style="505" customWidth="1"/>
    <col min="1804" max="1804" width="12.7109375" style="505" bestFit="1" customWidth="1"/>
    <col min="1805" max="1805" width="14.42578125" style="505" customWidth="1"/>
    <col min="1806" max="1810" width="4.140625" style="505" customWidth="1"/>
    <col min="1811" max="2048" width="8.85546875" style="505"/>
    <col min="2049" max="2049" width="8" style="505" bestFit="1" customWidth="1"/>
    <col min="2050" max="2050" width="5.85546875" style="505" bestFit="1" customWidth="1"/>
    <col min="2051" max="2051" width="4.140625" style="505" customWidth="1"/>
    <col min="2052" max="2052" width="2.28515625" style="505" customWidth="1"/>
    <col min="2053" max="2056" width="11.7109375" style="505" customWidth="1"/>
    <col min="2057" max="2057" width="6.7109375" style="505" bestFit="1" customWidth="1"/>
    <col min="2058" max="2059" width="11.7109375" style="505" customWidth="1"/>
    <col min="2060" max="2060" width="12.7109375" style="505" bestFit="1" customWidth="1"/>
    <col min="2061" max="2061" width="14.42578125" style="505" customWidth="1"/>
    <col min="2062" max="2066" width="4.140625" style="505" customWidth="1"/>
    <col min="2067" max="2304" width="8.85546875" style="505"/>
    <col min="2305" max="2305" width="8" style="505" bestFit="1" customWidth="1"/>
    <col min="2306" max="2306" width="5.85546875" style="505" bestFit="1" customWidth="1"/>
    <col min="2307" max="2307" width="4.140625" style="505" customWidth="1"/>
    <col min="2308" max="2308" width="2.28515625" style="505" customWidth="1"/>
    <col min="2309" max="2312" width="11.7109375" style="505" customWidth="1"/>
    <col min="2313" max="2313" width="6.7109375" style="505" bestFit="1" customWidth="1"/>
    <col min="2314" max="2315" width="11.7109375" style="505" customWidth="1"/>
    <col min="2316" max="2316" width="12.7109375" style="505" bestFit="1" customWidth="1"/>
    <col min="2317" max="2317" width="14.42578125" style="505" customWidth="1"/>
    <col min="2318" max="2322" width="4.140625" style="505" customWidth="1"/>
    <col min="2323" max="2560" width="8.85546875" style="505"/>
    <col min="2561" max="2561" width="8" style="505" bestFit="1" customWidth="1"/>
    <col min="2562" max="2562" width="5.85546875" style="505" bestFit="1" customWidth="1"/>
    <col min="2563" max="2563" width="4.140625" style="505" customWidth="1"/>
    <col min="2564" max="2564" width="2.28515625" style="505" customWidth="1"/>
    <col min="2565" max="2568" width="11.7109375" style="505" customWidth="1"/>
    <col min="2569" max="2569" width="6.7109375" style="505" bestFit="1" customWidth="1"/>
    <col min="2570" max="2571" width="11.7109375" style="505" customWidth="1"/>
    <col min="2572" max="2572" width="12.7109375" style="505" bestFit="1" customWidth="1"/>
    <col min="2573" max="2573" width="14.42578125" style="505" customWidth="1"/>
    <col min="2574" max="2578" width="4.140625" style="505" customWidth="1"/>
    <col min="2579" max="2816" width="8.85546875" style="505"/>
    <col min="2817" max="2817" width="8" style="505" bestFit="1" customWidth="1"/>
    <col min="2818" max="2818" width="5.85546875" style="505" bestFit="1" customWidth="1"/>
    <col min="2819" max="2819" width="4.140625" style="505" customWidth="1"/>
    <col min="2820" max="2820" width="2.28515625" style="505" customWidth="1"/>
    <col min="2821" max="2824" width="11.7109375" style="505" customWidth="1"/>
    <col min="2825" max="2825" width="6.7109375" style="505" bestFit="1" customWidth="1"/>
    <col min="2826" max="2827" width="11.7109375" style="505" customWidth="1"/>
    <col min="2828" max="2828" width="12.7109375" style="505" bestFit="1" customWidth="1"/>
    <col min="2829" max="2829" width="14.42578125" style="505" customWidth="1"/>
    <col min="2830" max="2834" width="4.140625" style="505" customWidth="1"/>
    <col min="2835" max="3072" width="8.85546875" style="505"/>
    <col min="3073" max="3073" width="8" style="505" bestFit="1" customWidth="1"/>
    <col min="3074" max="3074" width="5.85546875" style="505" bestFit="1" customWidth="1"/>
    <col min="3075" max="3075" width="4.140625" style="505" customWidth="1"/>
    <col min="3076" max="3076" width="2.28515625" style="505" customWidth="1"/>
    <col min="3077" max="3080" width="11.7109375" style="505" customWidth="1"/>
    <col min="3081" max="3081" width="6.7109375" style="505" bestFit="1" customWidth="1"/>
    <col min="3082" max="3083" width="11.7109375" style="505" customWidth="1"/>
    <col min="3084" max="3084" width="12.7109375" style="505" bestFit="1" customWidth="1"/>
    <col min="3085" max="3085" width="14.42578125" style="505" customWidth="1"/>
    <col min="3086" max="3090" width="4.140625" style="505" customWidth="1"/>
    <col min="3091" max="3328" width="8.85546875" style="505"/>
    <col min="3329" max="3329" width="8" style="505" bestFit="1" customWidth="1"/>
    <col min="3330" max="3330" width="5.85546875" style="505" bestFit="1" customWidth="1"/>
    <col min="3331" max="3331" width="4.140625" style="505" customWidth="1"/>
    <col min="3332" max="3332" width="2.28515625" style="505" customWidth="1"/>
    <col min="3333" max="3336" width="11.7109375" style="505" customWidth="1"/>
    <col min="3337" max="3337" width="6.7109375" style="505" bestFit="1" customWidth="1"/>
    <col min="3338" max="3339" width="11.7109375" style="505" customWidth="1"/>
    <col min="3340" max="3340" width="12.7109375" style="505" bestFit="1" customWidth="1"/>
    <col min="3341" max="3341" width="14.42578125" style="505" customWidth="1"/>
    <col min="3342" max="3346" width="4.140625" style="505" customWidth="1"/>
    <col min="3347" max="3584" width="8.85546875" style="505"/>
    <col min="3585" max="3585" width="8" style="505" bestFit="1" customWidth="1"/>
    <col min="3586" max="3586" width="5.85546875" style="505" bestFit="1" customWidth="1"/>
    <col min="3587" max="3587" width="4.140625" style="505" customWidth="1"/>
    <col min="3588" max="3588" width="2.28515625" style="505" customWidth="1"/>
    <col min="3589" max="3592" width="11.7109375" style="505" customWidth="1"/>
    <col min="3593" max="3593" width="6.7109375" style="505" bestFit="1" customWidth="1"/>
    <col min="3594" max="3595" width="11.7109375" style="505" customWidth="1"/>
    <col min="3596" max="3596" width="12.7109375" style="505" bestFit="1" customWidth="1"/>
    <col min="3597" max="3597" width="14.42578125" style="505" customWidth="1"/>
    <col min="3598" max="3602" width="4.140625" style="505" customWidth="1"/>
    <col min="3603" max="3840" width="8.85546875" style="505"/>
    <col min="3841" max="3841" width="8" style="505" bestFit="1" customWidth="1"/>
    <col min="3842" max="3842" width="5.85546875" style="505" bestFit="1" customWidth="1"/>
    <col min="3843" max="3843" width="4.140625" style="505" customWidth="1"/>
    <col min="3844" max="3844" width="2.28515625" style="505" customWidth="1"/>
    <col min="3845" max="3848" width="11.7109375" style="505" customWidth="1"/>
    <col min="3849" max="3849" width="6.7109375" style="505" bestFit="1" customWidth="1"/>
    <col min="3850" max="3851" width="11.7109375" style="505" customWidth="1"/>
    <col min="3852" max="3852" width="12.7109375" style="505" bestFit="1" customWidth="1"/>
    <col min="3853" max="3853" width="14.42578125" style="505" customWidth="1"/>
    <col min="3854" max="3858" width="4.140625" style="505" customWidth="1"/>
    <col min="3859" max="4096" width="8.85546875" style="505"/>
    <col min="4097" max="4097" width="8" style="505" bestFit="1" customWidth="1"/>
    <col min="4098" max="4098" width="5.85546875" style="505" bestFit="1" customWidth="1"/>
    <col min="4099" max="4099" width="4.140625" style="505" customWidth="1"/>
    <col min="4100" max="4100" width="2.28515625" style="505" customWidth="1"/>
    <col min="4101" max="4104" width="11.7109375" style="505" customWidth="1"/>
    <col min="4105" max="4105" width="6.7109375" style="505" bestFit="1" customWidth="1"/>
    <col min="4106" max="4107" width="11.7109375" style="505" customWidth="1"/>
    <col min="4108" max="4108" width="12.7109375" style="505" bestFit="1" customWidth="1"/>
    <col min="4109" max="4109" width="14.42578125" style="505" customWidth="1"/>
    <col min="4110" max="4114" width="4.140625" style="505" customWidth="1"/>
    <col min="4115" max="4352" width="8.85546875" style="505"/>
    <col min="4353" max="4353" width="8" style="505" bestFit="1" customWidth="1"/>
    <col min="4354" max="4354" width="5.85546875" style="505" bestFit="1" customWidth="1"/>
    <col min="4355" max="4355" width="4.140625" style="505" customWidth="1"/>
    <col min="4356" max="4356" width="2.28515625" style="505" customWidth="1"/>
    <col min="4357" max="4360" width="11.7109375" style="505" customWidth="1"/>
    <col min="4361" max="4361" width="6.7109375" style="505" bestFit="1" customWidth="1"/>
    <col min="4362" max="4363" width="11.7109375" style="505" customWidth="1"/>
    <col min="4364" max="4364" width="12.7109375" style="505" bestFit="1" customWidth="1"/>
    <col min="4365" max="4365" width="14.42578125" style="505" customWidth="1"/>
    <col min="4366" max="4370" width="4.140625" style="505" customWidth="1"/>
    <col min="4371" max="4608" width="8.85546875" style="505"/>
    <col min="4609" max="4609" width="8" style="505" bestFit="1" customWidth="1"/>
    <col min="4610" max="4610" width="5.85546875" style="505" bestFit="1" customWidth="1"/>
    <col min="4611" max="4611" width="4.140625" style="505" customWidth="1"/>
    <col min="4612" max="4612" width="2.28515625" style="505" customWidth="1"/>
    <col min="4613" max="4616" width="11.7109375" style="505" customWidth="1"/>
    <col min="4617" max="4617" width="6.7109375" style="505" bestFit="1" customWidth="1"/>
    <col min="4618" max="4619" width="11.7109375" style="505" customWidth="1"/>
    <col min="4620" max="4620" width="12.7109375" style="505" bestFit="1" customWidth="1"/>
    <col min="4621" max="4621" width="14.42578125" style="505" customWidth="1"/>
    <col min="4622" max="4626" width="4.140625" style="505" customWidth="1"/>
    <col min="4627" max="4864" width="8.85546875" style="505"/>
    <col min="4865" max="4865" width="8" style="505" bestFit="1" customWidth="1"/>
    <col min="4866" max="4866" width="5.85546875" style="505" bestFit="1" customWidth="1"/>
    <col min="4867" max="4867" width="4.140625" style="505" customWidth="1"/>
    <col min="4868" max="4868" width="2.28515625" style="505" customWidth="1"/>
    <col min="4869" max="4872" width="11.7109375" style="505" customWidth="1"/>
    <col min="4873" max="4873" width="6.7109375" style="505" bestFit="1" customWidth="1"/>
    <col min="4874" max="4875" width="11.7109375" style="505" customWidth="1"/>
    <col min="4876" max="4876" width="12.7109375" style="505" bestFit="1" customWidth="1"/>
    <col min="4877" max="4877" width="14.42578125" style="505" customWidth="1"/>
    <col min="4878" max="4882" width="4.140625" style="505" customWidth="1"/>
    <col min="4883" max="5120" width="8.85546875" style="505"/>
    <col min="5121" max="5121" width="8" style="505" bestFit="1" customWidth="1"/>
    <col min="5122" max="5122" width="5.85546875" style="505" bestFit="1" customWidth="1"/>
    <col min="5123" max="5123" width="4.140625" style="505" customWidth="1"/>
    <col min="5124" max="5124" width="2.28515625" style="505" customWidth="1"/>
    <col min="5125" max="5128" width="11.7109375" style="505" customWidth="1"/>
    <col min="5129" max="5129" width="6.7109375" style="505" bestFit="1" customWidth="1"/>
    <col min="5130" max="5131" width="11.7109375" style="505" customWidth="1"/>
    <col min="5132" max="5132" width="12.7109375" style="505" bestFit="1" customWidth="1"/>
    <col min="5133" max="5133" width="14.42578125" style="505" customWidth="1"/>
    <col min="5134" max="5138" width="4.140625" style="505" customWidth="1"/>
    <col min="5139" max="5376" width="8.85546875" style="505"/>
    <col min="5377" max="5377" width="8" style="505" bestFit="1" customWidth="1"/>
    <col min="5378" max="5378" width="5.85546875" style="505" bestFit="1" customWidth="1"/>
    <col min="5379" max="5379" width="4.140625" style="505" customWidth="1"/>
    <col min="5380" max="5380" width="2.28515625" style="505" customWidth="1"/>
    <col min="5381" max="5384" width="11.7109375" style="505" customWidth="1"/>
    <col min="5385" max="5385" width="6.7109375" style="505" bestFit="1" customWidth="1"/>
    <col min="5386" max="5387" width="11.7109375" style="505" customWidth="1"/>
    <col min="5388" max="5388" width="12.7109375" style="505" bestFit="1" customWidth="1"/>
    <col min="5389" max="5389" width="14.42578125" style="505" customWidth="1"/>
    <col min="5390" max="5394" width="4.140625" style="505" customWidth="1"/>
    <col min="5395" max="5632" width="8.85546875" style="505"/>
    <col min="5633" max="5633" width="8" style="505" bestFit="1" customWidth="1"/>
    <col min="5634" max="5634" width="5.85546875" style="505" bestFit="1" customWidth="1"/>
    <col min="5635" max="5635" width="4.140625" style="505" customWidth="1"/>
    <col min="5636" max="5636" width="2.28515625" style="505" customWidth="1"/>
    <col min="5637" max="5640" width="11.7109375" style="505" customWidth="1"/>
    <col min="5641" max="5641" width="6.7109375" style="505" bestFit="1" customWidth="1"/>
    <col min="5642" max="5643" width="11.7109375" style="505" customWidth="1"/>
    <col min="5644" max="5644" width="12.7109375" style="505" bestFit="1" customWidth="1"/>
    <col min="5645" max="5645" width="14.42578125" style="505" customWidth="1"/>
    <col min="5646" max="5650" width="4.140625" style="505" customWidth="1"/>
    <col min="5651" max="5888" width="8.85546875" style="505"/>
    <col min="5889" max="5889" width="8" style="505" bestFit="1" customWidth="1"/>
    <col min="5890" max="5890" width="5.85546875" style="505" bestFit="1" customWidth="1"/>
    <col min="5891" max="5891" width="4.140625" style="505" customWidth="1"/>
    <col min="5892" max="5892" width="2.28515625" style="505" customWidth="1"/>
    <col min="5893" max="5896" width="11.7109375" style="505" customWidth="1"/>
    <col min="5897" max="5897" width="6.7109375" style="505" bestFit="1" customWidth="1"/>
    <col min="5898" max="5899" width="11.7109375" style="505" customWidth="1"/>
    <col min="5900" max="5900" width="12.7109375" style="505" bestFit="1" customWidth="1"/>
    <col min="5901" max="5901" width="14.42578125" style="505" customWidth="1"/>
    <col min="5902" max="5906" width="4.140625" style="505" customWidth="1"/>
    <col min="5907" max="6144" width="8.85546875" style="505"/>
    <col min="6145" max="6145" width="8" style="505" bestFit="1" customWidth="1"/>
    <col min="6146" max="6146" width="5.85546875" style="505" bestFit="1" customWidth="1"/>
    <col min="6147" max="6147" width="4.140625" style="505" customWidth="1"/>
    <col min="6148" max="6148" width="2.28515625" style="505" customWidth="1"/>
    <col min="6149" max="6152" width="11.7109375" style="505" customWidth="1"/>
    <col min="6153" max="6153" width="6.7109375" style="505" bestFit="1" customWidth="1"/>
    <col min="6154" max="6155" width="11.7109375" style="505" customWidth="1"/>
    <col min="6156" max="6156" width="12.7109375" style="505" bestFit="1" customWidth="1"/>
    <col min="6157" max="6157" width="14.42578125" style="505" customWidth="1"/>
    <col min="6158" max="6162" width="4.140625" style="505" customWidth="1"/>
    <col min="6163" max="6400" width="8.85546875" style="505"/>
    <col min="6401" max="6401" width="8" style="505" bestFit="1" customWidth="1"/>
    <col min="6402" max="6402" width="5.85546875" style="505" bestFit="1" customWidth="1"/>
    <col min="6403" max="6403" width="4.140625" style="505" customWidth="1"/>
    <col min="6404" max="6404" width="2.28515625" style="505" customWidth="1"/>
    <col min="6405" max="6408" width="11.7109375" style="505" customWidth="1"/>
    <col min="6409" max="6409" width="6.7109375" style="505" bestFit="1" customWidth="1"/>
    <col min="6410" max="6411" width="11.7109375" style="505" customWidth="1"/>
    <col min="6412" max="6412" width="12.7109375" style="505" bestFit="1" customWidth="1"/>
    <col min="6413" max="6413" width="14.42578125" style="505" customWidth="1"/>
    <col min="6414" max="6418" width="4.140625" style="505" customWidth="1"/>
    <col min="6419" max="6656" width="8.85546875" style="505"/>
    <col min="6657" max="6657" width="8" style="505" bestFit="1" customWidth="1"/>
    <col min="6658" max="6658" width="5.85546875" style="505" bestFit="1" customWidth="1"/>
    <col min="6659" max="6659" width="4.140625" style="505" customWidth="1"/>
    <col min="6660" max="6660" width="2.28515625" style="505" customWidth="1"/>
    <col min="6661" max="6664" width="11.7109375" style="505" customWidth="1"/>
    <col min="6665" max="6665" width="6.7109375" style="505" bestFit="1" customWidth="1"/>
    <col min="6666" max="6667" width="11.7109375" style="505" customWidth="1"/>
    <col min="6668" max="6668" width="12.7109375" style="505" bestFit="1" customWidth="1"/>
    <col min="6669" max="6669" width="14.42578125" style="505" customWidth="1"/>
    <col min="6670" max="6674" width="4.140625" style="505" customWidth="1"/>
    <col min="6675" max="6912" width="8.85546875" style="505"/>
    <col min="6913" max="6913" width="8" style="505" bestFit="1" customWidth="1"/>
    <col min="6914" max="6914" width="5.85546875" style="505" bestFit="1" customWidth="1"/>
    <col min="6915" max="6915" width="4.140625" style="505" customWidth="1"/>
    <col min="6916" max="6916" width="2.28515625" style="505" customWidth="1"/>
    <col min="6917" max="6920" width="11.7109375" style="505" customWidth="1"/>
    <col min="6921" max="6921" width="6.7109375" style="505" bestFit="1" customWidth="1"/>
    <col min="6922" max="6923" width="11.7109375" style="505" customWidth="1"/>
    <col min="6924" max="6924" width="12.7109375" style="505" bestFit="1" customWidth="1"/>
    <col min="6925" max="6925" width="14.42578125" style="505" customWidth="1"/>
    <col min="6926" max="6930" width="4.140625" style="505" customWidth="1"/>
    <col min="6931" max="7168" width="8.85546875" style="505"/>
    <col min="7169" max="7169" width="8" style="505" bestFit="1" customWidth="1"/>
    <col min="7170" max="7170" width="5.85546875" style="505" bestFit="1" customWidth="1"/>
    <col min="7171" max="7171" width="4.140625" style="505" customWidth="1"/>
    <col min="7172" max="7172" width="2.28515625" style="505" customWidth="1"/>
    <col min="7173" max="7176" width="11.7109375" style="505" customWidth="1"/>
    <col min="7177" max="7177" width="6.7109375" style="505" bestFit="1" customWidth="1"/>
    <col min="7178" max="7179" width="11.7109375" style="505" customWidth="1"/>
    <col min="7180" max="7180" width="12.7109375" style="505" bestFit="1" customWidth="1"/>
    <col min="7181" max="7181" width="14.42578125" style="505" customWidth="1"/>
    <col min="7182" max="7186" width="4.140625" style="505" customWidth="1"/>
    <col min="7187" max="7424" width="8.85546875" style="505"/>
    <col min="7425" max="7425" width="8" style="505" bestFit="1" customWidth="1"/>
    <col min="7426" max="7426" width="5.85546875" style="505" bestFit="1" customWidth="1"/>
    <col min="7427" max="7427" width="4.140625" style="505" customWidth="1"/>
    <col min="7428" max="7428" width="2.28515625" style="505" customWidth="1"/>
    <col min="7429" max="7432" width="11.7109375" style="505" customWidth="1"/>
    <col min="7433" max="7433" width="6.7109375" style="505" bestFit="1" customWidth="1"/>
    <col min="7434" max="7435" width="11.7109375" style="505" customWidth="1"/>
    <col min="7436" max="7436" width="12.7109375" style="505" bestFit="1" customWidth="1"/>
    <col min="7437" max="7437" width="14.42578125" style="505" customWidth="1"/>
    <col min="7438" max="7442" width="4.140625" style="505" customWidth="1"/>
    <col min="7443" max="7680" width="8.85546875" style="505"/>
    <col min="7681" max="7681" width="8" style="505" bestFit="1" customWidth="1"/>
    <col min="7682" max="7682" width="5.85546875" style="505" bestFit="1" customWidth="1"/>
    <col min="7683" max="7683" width="4.140625" style="505" customWidth="1"/>
    <col min="7684" max="7684" width="2.28515625" style="505" customWidth="1"/>
    <col min="7685" max="7688" width="11.7109375" style="505" customWidth="1"/>
    <col min="7689" max="7689" width="6.7109375" style="505" bestFit="1" customWidth="1"/>
    <col min="7690" max="7691" width="11.7109375" style="505" customWidth="1"/>
    <col min="7692" max="7692" width="12.7109375" style="505" bestFit="1" customWidth="1"/>
    <col min="7693" max="7693" width="14.42578125" style="505" customWidth="1"/>
    <col min="7694" max="7698" width="4.140625" style="505" customWidth="1"/>
    <col min="7699" max="7936" width="8.85546875" style="505"/>
    <col min="7937" max="7937" width="8" style="505" bestFit="1" customWidth="1"/>
    <col min="7938" max="7938" width="5.85546875" style="505" bestFit="1" customWidth="1"/>
    <col min="7939" max="7939" width="4.140625" style="505" customWidth="1"/>
    <col min="7940" max="7940" width="2.28515625" style="505" customWidth="1"/>
    <col min="7941" max="7944" width="11.7109375" style="505" customWidth="1"/>
    <col min="7945" max="7945" width="6.7109375" style="505" bestFit="1" customWidth="1"/>
    <col min="7946" max="7947" width="11.7109375" style="505" customWidth="1"/>
    <col min="7948" max="7948" width="12.7109375" style="505" bestFit="1" customWidth="1"/>
    <col min="7949" max="7949" width="14.42578125" style="505" customWidth="1"/>
    <col min="7950" max="7954" width="4.140625" style="505" customWidth="1"/>
    <col min="7955" max="8192" width="8.85546875" style="505"/>
    <col min="8193" max="8193" width="8" style="505" bestFit="1" customWidth="1"/>
    <col min="8194" max="8194" width="5.85546875" style="505" bestFit="1" customWidth="1"/>
    <col min="8195" max="8195" width="4.140625" style="505" customWidth="1"/>
    <col min="8196" max="8196" width="2.28515625" style="505" customWidth="1"/>
    <col min="8197" max="8200" width="11.7109375" style="505" customWidth="1"/>
    <col min="8201" max="8201" width="6.7109375" style="505" bestFit="1" customWidth="1"/>
    <col min="8202" max="8203" width="11.7109375" style="505" customWidth="1"/>
    <col min="8204" max="8204" width="12.7109375" style="505" bestFit="1" customWidth="1"/>
    <col min="8205" max="8205" width="14.42578125" style="505" customWidth="1"/>
    <col min="8206" max="8210" width="4.140625" style="505" customWidth="1"/>
    <col min="8211" max="8448" width="8.85546875" style="505"/>
    <col min="8449" max="8449" width="8" style="505" bestFit="1" customWidth="1"/>
    <col min="8450" max="8450" width="5.85546875" style="505" bestFit="1" customWidth="1"/>
    <col min="8451" max="8451" width="4.140625" style="505" customWidth="1"/>
    <col min="8452" max="8452" width="2.28515625" style="505" customWidth="1"/>
    <col min="8453" max="8456" width="11.7109375" style="505" customWidth="1"/>
    <col min="8457" max="8457" width="6.7109375" style="505" bestFit="1" customWidth="1"/>
    <col min="8458" max="8459" width="11.7109375" style="505" customWidth="1"/>
    <col min="8460" max="8460" width="12.7109375" style="505" bestFit="1" customWidth="1"/>
    <col min="8461" max="8461" width="14.42578125" style="505" customWidth="1"/>
    <col min="8462" max="8466" width="4.140625" style="505" customWidth="1"/>
    <col min="8467" max="8704" width="8.85546875" style="505"/>
    <col min="8705" max="8705" width="8" style="505" bestFit="1" customWidth="1"/>
    <col min="8706" max="8706" width="5.85546875" style="505" bestFit="1" customWidth="1"/>
    <col min="8707" max="8707" width="4.140625" style="505" customWidth="1"/>
    <col min="8708" max="8708" width="2.28515625" style="505" customWidth="1"/>
    <col min="8709" max="8712" width="11.7109375" style="505" customWidth="1"/>
    <col min="8713" max="8713" width="6.7109375" style="505" bestFit="1" customWidth="1"/>
    <col min="8714" max="8715" width="11.7109375" style="505" customWidth="1"/>
    <col min="8716" max="8716" width="12.7109375" style="505" bestFit="1" customWidth="1"/>
    <col min="8717" max="8717" width="14.42578125" style="505" customWidth="1"/>
    <col min="8718" max="8722" width="4.140625" style="505" customWidth="1"/>
    <col min="8723" max="8960" width="8.85546875" style="505"/>
    <col min="8961" max="8961" width="8" style="505" bestFit="1" customWidth="1"/>
    <col min="8962" max="8962" width="5.85546875" style="505" bestFit="1" customWidth="1"/>
    <col min="8963" max="8963" width="4.140625" style="505" customWidth="1"/>
    <col min="8964" max="8964" width="2.28515625" style="505" customWidth="1"/>
    <col min="8965" max="8968" width="11.7109375" style="505" customWidth="1"/>
    <col min="8969" max="8969" width="6.7109375" style="505" bestFit="1" customWidth="1"/>
    <col min="8970" max="8971" width="11.7109375" style="505" customWidth="1"/>
    <col min="8972" max="8972" width="12.7109375" style="505" bestFit="1" customWidth="1"/>
    <col min="8973" max="8973" width="14.42578125" style="505" customWidth="1"/>
    <col min="8974" max="8978" width="4.140625" style="505" customWidth="1"/>
    <col min="8979" max="9216" width="8.85546875" style="505"/>
    <col min="9217" max="9217" width="8" style="505" bestFit="1" customWidth="1"/>
    <col min="9218" max="9218" width="5.85546875" style="505" bestFit="1" customWidth="1"/>
    <col min="9219" max="9219" width="4.140625" style="505" customWidth="1"/>
    <col min="9220" max="9220" width="2.28515625" style="505" customWidth="1"/>
    <col min="9221" max="9224" width="11.7109375" style="505" customWidth="1"/>
    <col min="9225" max="9225" width="6.7109375" style="505" bestFit="1" customWidth="1"/>
    <col min="9226" max="9227" width="11.7109375" style="505" customWidth="1"/>
    <col min="9228" max="9228" width="12.7109375" style="505" bestFit="1" customWidth="1"/>
    <col min="9229" max="9229" width="14.42578125" style="505" customWidth="1"/>
    <col min="9230" max="9234" width="4.140625" style="505" customWidth="1"/>
    <col min="9235" max="9472" width="8.85546875" style="505"/>
    <col min="9473" max="9473" width="8" style="505" bestFit="1" customWidth="1"/>
    <col min="9474" max="9474" width="5.85546875" style="505" bestFit="1" customWidth="1"/>
    <col min="9475" max="9475" width="4.140625" style="505" customWidth="1"/>
    <col min="9476" max="9476" width="2.28515625" style="505" customWidth="1"/>
    <col min="9477" max="9480" width="11.7109375" style="505" customWidth="1"/>
    <col min="9481" max="9481" width="6.7109375" style="505" bestFit="1" customWidth="1"/>
    <col min="9482" max="9483" width="11.7109375" style="505" customWidth="1"/>
    <col min="9484" max="9484" width="12.7109375" style="505" bestFit="1" customWidth="1"/>
    <col min="9485" max="9485" width="14.42578125" style="505" customWidth="1"/>
    <col min="9486" max="9490" width="4.140625" style="505" customWidth="1"/>
    <col min="9491" max="9728" width="8.85546875" style="505"/>
    <col min="9729" max="9729" width="8" style="505" bestFit="1" customWidth="1"/>
    <col min="9730" max="9730" width="5.85546875" style="505" bestFit="1" customWidth="1"/>
    <col min="9731" max="9731" width="4.140625" style="505" customWidth="1"/>
    <col min="9732" max="9732" width="2.28515625" style="505" customWidth="1"/>
    <col min="9733" max="9736" width="11.7109375" style="505" customWidth="1"/>
    <col min="9737" max="9737" width="6.7109375" style="505" bestFit="1" customWidth="1"/>
    <col min="9738" max="9739" width="11.7109375" style="505" customWidth="1"/>
    <col min="9740" max="9740" width="12.7109375" style="505" bestFit="1" customWidth="1"/>
    <col min="9741" max="9741" width="14.42578125" style="505" customWidth="1"/>
    <col min="9742" max="9746" width="4.140625" style="505" customWidth="1"/>
    <col min="9747" max="9984" width="8.85546875" style="505"/>
    <col min="9985" max="9985" width="8" style="505" bestFit="1" customWidth="1"/>
    <col min="9986" max="9986" width="5.85546875" style="505" bestFit="1" customWidth="1"/>
    <col min="9987" max="9987" width="4.140625" style="505" customWidth="1"/>
    <col min="9988" max="9988" width="2.28515625" style="505" customWidth="1"/>
    <col min="9989" max="9992" width="11.7109375" style="505" customWidth="1"/>
    <col min="9993" max="9993" width="6.7109375" style="505" bestFit="1" customWidth="1"/>
    <col min="9994" max="9995" width="11.7109375" style="505" customWidth="1"/>
    <col min="9996" max="9996" width="12.7109375" style="505" bestFit="1" customWidth="1"/>
    <col min="9997" max="9997" width="14.42578125" style="505" customWidth="1"/>
    <col min="9998" max="10002" width="4.140625" style="505" customWidth="1"/>
    <col min="10003" max="10240" width="8.85546875" style="505"/>
    <col min="10241" max="10241" width="8" style="505" bestFit="1" customWidth="1"/>
    <col min="10242" max="10242" width="5.85546875" style="505" bestFit="1" customWidth="1"/>
    <col min="10243" max="10243" width="4.140625" style="505" customWidth="1"/>
    <col min="10244" max="10244" width="2.28515625" style="505" customWidth="1"/>
    <col min="10245" max="10248" width="11.7109375" style="505" customWidth="1"/>
    <col min="10249" max="10249" width="6.7109375" style="505" bestFit="1" customWidth="1"/>
    <col min="10250" max="10251" width="11.7109375" style="505" customWidth="1"/>
    <col min="10252" max="10252" width="12.7109375" style="505" bestFit="1" customWidth="1"/>
    <col min="10253" max="10253" width="14.42578125" style="505" customWidth="1"/>
    <col min="10254" max="10258" width="4.140625" style="505" customWidth="1"/>
    <col min="10259" max="10496" width="8.85546875" style="505"/>
    <col min="10497" max="10497" width="8" style="505" bestFit="1" customWidth="1"/>
    <col min="10498" max="10498" width="5.85546875" style="505" bestFit="1" customWidth="1"/>
    <col min="10499" max="10499" width="4.140625" style="505" customWidth="1"/>
    <col min="10500" max="10500" width="2.28515625" style="505" customWidth="1"/>
    <col min="10501" max="10504" width="11.7109375" style="505" customWidth="1"/>
    <col min="10505" max="10505" width="6.7109375" style="505" bestFit="1" customWidth="1"/>
    <col min="10506" max="10507" width="11.7109375" style="505" customWidth="1"/>
    <col min="10508" max="10508" width="12.7109375" style="505" bestFit="1" customWidth="1"/>
    <col min="10509" max="10509" width="14.42578125" style="505" customWidth="1"/>
    <col min="10510" max="10514" width="4.140625" style="505" customWidth="1"/>
    <col min="10515" max="10752" width="8.85546875" style="505"/>
    <col min="10753" max="10753" width="8" style="505" bestFit="1" customWidth="1"/>
    <col min="10754" max="10754" width="5.85546875" style="505" bestFit="1" customWidth="1"/>
    <col min="10755" max="10755" width="4.140625" style="505" customWidth="1"/>
    <col min="10756" max="10756" width="2.28515625" style="505" customWidth="1"/>
    <col min="10757" max="10760" width="11.7109375" style="505" customWidth="1"/>
    <col min="10761" max="10761" width="6.7109375" style="505" bestFit="1" customWidth="1"/>
    <col min="10762" max="10763" width="11.7109375" style="505" customWidth="1"/>
    <col min="10764" max="10764" width="12.7109375" style="505" bestFit="1" customWidth="1"/>
    <col min="10765" max="10765" width="14.42578125" style="505" customWidth="1"/>
    <col min="10766" max="10770" width="4.140625" style="505" customWidth="1"/>
    <col min="10771" max="11008" width="8.85546875" style="505"/>
    <col min="11009" max="11009" width="8" style="505" bestFit="1" customWidth="1"/>
    <col min="11010" max="11010" width="5.85546875" style="505" bestFit="1" customWidth="1"/>
    <col min="11011" max="11011" width="4.140625" style="505" customWidth="1"/>
    <col min="11012" max="11012" width="2.28515625" style="505" customWidth="1"/>
    <col min="11013" max="11016" width="11.7109375" style="505" customWidth="1"/>
    <col min="11017" max="11017" width="6.7109375" style="505" bestFit="1" customWidth="1"/>
    <col min="11018" max="11019" width="11.7109375" style="505" customWidth="1"/>
    <col min="11020" max="11020" width="12.7109375" style="505" bestFit="1" customWidth="1"/>
    <col min="11021" max="11021" width="14.42578125" style="505" customWidth="1"/>
    <col min="11022" max="11026" width="4.140625" style="505" customWidth="1"/>
    <col min="11027" max="11264" width="8.85546875" style="505"/>
    <col min="11265" max="11265" width="8" style="505" bestFit="1" customWidth="1"/>
    <col min="11266" max="11266" width="5.85546875" style="505" bestFit="1" customWidth="1"/>
    <col min="11267" max="11267" width="4.140625" style="505" customWidth="1"/>
    <col min="11268" max="11268" width="2.28515625" style="505" customWidth="1"/>
    <col min="11269" max="11272" width="11.7109375" style="505" customWidth="1"/>
    <col min="11273" max="11273" width="6.7109375" style="505" bestFit="1" customWidth="1"/>
    <col min="11274" max="11275" width="11.7109375" style="505" customWidth="1"/>
    <col min="11276" max="11276" width="12.7109375" style="505" bestFit="1" customWidth="1"/>
    <col min="11277" max="11277" width="14.42578125" style="505" customWidth="1"/>
    <col min="11278" max="11282" width="4.140625" style="505" customWidth="1"/>
    <col min="11283" max="11520" width="8.85546875" style="505"/>
    <col min="11521" max="11521" width="8" style="505" bestFit="1" customWidth="1"/>
    <col min="11522" max="11522" width="5.85546875" style="505" bestFit="1" customWidth="1"/>
    <col min="11523" max="11523" width="4.140625" style="505" customWidth="1"/>
    <col min="11524" max="11524" width="2.28515625" style="505" customWidth="1"/>
    <col min="11525" max="11528" width="11.7109375" style="505" customWidth="1"/>
    <col min="11529" max="11529" width="6.7109375" style="505" bestFit="1" customWidth="1"/>
    <col min="11530" max="11531" width="11.7109375" style="505" customWidth="1"/>
    <col min="11532" max="11532" width="12.7109375" style="505" bestFit="1" customWidth="1"/>
    <col min="11533" max="11533" width="14.42578125" style="505" customWidth="1"/>
    <col min="11534" max="11538" width="4.140625" style="505" customWidth="1"/>
    <col min="11539" max="11776" width="8.85546875" style="505"/>
    <col min="11777" max="11777" width="8" style="505" bestFit="1" customWidth="1"/>
    <col min="11778" max="11778" width="5.85546875" style="505" bestFit="1" customWidth="1"/>
    <col min="11779" max="11779" width="4.140625" style="505" customWidth="1"/>
    <col min="11780" max="11780" width="2.28515625" style="505" customWidth="1"/>
    <col min="11781" max="11784" width="11.7109375" style="505" customWidth="1"/>
    <col min="11785" max="11785" width="6.7109375" style="505" bestFit="1" customWidth="1"/>
    <col min="11786" max="11787" width="11.7109375" style="505" customWidth="1"/>
    <col min="11788" max="11788" width="12.7109375" style="505" bestFit="1" customWidth="1"/>
    <col min="11789" max="11789" width="14.42578125" style="505" customWidth="1"/>
    <col min="11790" max="11794" width="4.140625" style="505" customWidth="1"/>
    <col min="11795" max="12032" width="8.85546875" style="505"/>
    <col min="12033" max="12033" width="8" style="505" bestFit="1" customWidth="1"/>
    <col min="12034" max="12034" width="5.85546875" style="505" bestFit="1" customWidth="1"/>
    <col min="12035" max="12035" width="4.140625" style="505" customWidth="1"/>
    <col min="12036" max="12036" width="2.28515625" style="505" customWidth="1"/>
    <col min="12037" max="12040" width="11.7109375" style="505" customWidth="1"/>
    <col min="12041" max="12041" width="6.7109375" style="505" bestFit="1" customWidth="1"/>
    <col min="12042" max="12043" width="11.7109375" style="505" customWidth="1"/>
    <col min="12044" max="12044" width="12.7109375" style="505" bestFit="1" customWidth="1"/>
    <col min="12045" max="12045" width="14.42578125" style="505" customWidth="1"/>
    <col min="12046" max="12050" width="4.140625" style="505" customWidth="1"/>
    <col min="12051" max="12288" width="8.85546875" style="505"/>
    <col min="12289" max="12289" width="8" style="505" bestFit="1" customWidth="1"/>
    <col min="12290" max="12290" width="5.85546875" style="505" bestFit="1" customWidth="1"/>
    <col min="12291" max="12291" width="4.140625" style="505" customWidth="1"/>
    <col min="12292" max="12292" width="2.28515625" style="505" customWidth="1"/>
    <col min="12293" max="12296" width="11.7109375" style="505" customWidth="1"/>
    <col min="12297" max="12297" width="6.7109375" style="505" bestFit="1" customWidth="1"/>
    <col min="12298" max="12299" width="11.7109375" style="505" customWidth="1"/>
    <col min="12300" max="12300" width="12.7109375" style="505" bestFit="1" customWidth="1"/>
    <col min="12301" max="12301" width="14.42578125" style="505" customWidth="1"/>
    <col min="12302" max="12306" width="4.140625" style="505" customWidth="1"/>
    <col min="12307" max="12544" width="8.85546875" style="505"/>
    <col min="12545" max="12545" width="8" style="505" bestFit="1" customWidth="1"/>
    <col min="12546" max="12546" width="5.85546875" style="505" bestFit="1" customWidth="1"/>
    <col min="12547" max="12547" width="4.140625" style="505" customWidth="1"/>
    <col min="12548" max="12548" width="2.28515625" style="505" customWidth="1"/>
    <col min="12549" max="12552" width="11.7109375" style="505" customWidth="1"/>
    <col min="12553" max="12553" width="6.7109375" style="505" bestFit="1" customWidth="1"/>
    <col min="12554" max="12555" width="11.7109375" style="505" customWidth="1"/>
    <col min="12556" max="12556" width="12.7109375" style="505" bestFit="1" customWidth="1"/>
    <col min="12557" max="12557" width="14.42578125" style="505" customWidth="1"/>
    <col min="12558" max="12562" width="4.140625" style="505" customWidth="1"/>
    <col min="12563" max="12800" width="8.85546875" style="505"/>
    <col min="12801" max="12801" width="8" style="505" bestFit="1" customWidth="1"/>
    <col min="12802" max="12802" width="5.85546875" style="505" bestFit="1" customWidth="1"/>
    <col min="12803" max="12803" width="4.140625" style="505" customWidth="1"/>
    <col min="12804" max="12804" width="2.28515625" style="505" customWidth="1"/>
    <col min="12805" max="12808" width="11.7109375" style="505" customWidth="1"/>
    <col min="12809" max="12809" width="6.7109375" style="505" bestFit="1" customWidth="1"/>
    <col min="12810" max="12811" width="11.7109375" style="505" customWidth="1"/>
    <col min="12812" max="12812" width="12.7109375" style="505" bestFit="1" customWidth="1"/>
    <col min="12813" max="12813" width="14.42578125" style="505" customWidth="1"/>
    <col min="12814" max="12818" width="4.140625" style="505" customWidth="1"/>
    <col min="12819" max="13056" width="8.85546875" style="505"/>
    <col min="13057" max="13057" width="8" style="505" bestFit="1" customWidth="1"/>
    <col min="13058" max="13058" width="5.85546875" style="505" bestFit="1" customWidth="1"/>
    <col min="13059" max="13059" width="4.140625" style="505" customWidth="1"/>
    <col min="13060" max="13060" width="2.28515625" style="505" customWidth="1"/>
    <col min="13061" max="13064" width="11.7109375" style="505" customWidth="1"/>
    <col min="13065" max="13065" width="6.7109375" style="505" bestFit="1" customWidth="1"/>
    <col min="13066" max="13067" width="11.7109375" style="505" customWidth="1"/>
    <col min="13068" max="13068" width="12.7109375" style="505" bestFit="1" customWidth="1"/>
    <col min="13069" max="13069" width="14.42578125" style="505" customWidth="1"/>
    <col min="13070" max="13074" width="4.140625" style="505" customWidth="1"/>
    <col min="13075" max="13312" width="8.85546875" style="505"/>
    <col min="13313" max="13313" width="8" style="505" bestFit="1" customWidth="1"/>
    <col min="13314" max="13314" width="5.85546875" style="505" bestFit="1" customWidth="1"/>
    <col min="13315" max="13315" width="4.140625" style="505" customWidth="1"/>
    <col min="13316" max="13316" width="2.28515625" style="505" customWidth="1"/>
    <col min="13317" max="13320" width="11.7109375" style="505" customWidth="1"/>
    <col min="13321" max="13321" width="6.7109375" style="505" bestFit="1" customWidth="1"/>
    <col min="13322" max="13323" width="11.7109375" style="505" customWidth="1"/>
    <col min="13324" max="13324" width="12.7109375" style="505" bestFit="1" customWidth="1"/>
    <col min="13325" max="13325" width="14.42578125" style="505" customWidth="1"/>
    <col min="13326" max="13330" width="4.140625" style="505" customWidth="1"/>
    <col min="13331" max="13568" width="8.85546875" style="505"/>
    <col min="13569" max="13569" width="8" style="505" bestFit="1" customWidth="1"/>
    <col min="13570" max="13570" width="5.85546875" style="505" bestFit="1" customWidth="1"/>
    <col min="13571" max="13571" width="4.140625" style="505" customWidth="1"/>
    <col min="13572" max="13572" width="2.28515625" style="505" customWidth="1"/>
    <col min="13573" max="13576" width="11.7109375" style="505" customWidth="1"/>
    <col min="13577" max="13577" width="6.7109375" style="505" bestFit="1" customWidth="1"/>
    <col min="13578" max="13579" width="11.7109375" style="505" customWidth="1"/>
    <col min="13580" max="13580" width="12.7109375" style="505" bestFit="1" customWidth="1"/>
    <col min="13581" max="13581" width="14.42578125" style="505" customWidth="1"/>
    <col min="13582" max="13586" width="4.140625" style="505" customWidth="1"/>
    <col min="13587" max="13824" width="8.85546875" style="505"/>
    <col min="13825" max="13825" width="8" style="505" bestFit="1" customWidth="1"/>
    <col min="13826" max="13826" width="5.85546875" style="505" bestFit="1" customWidth="1"/>
    <col min="13827" max="13827" width="4.140625" style="505" customWidth="1"/>
    <col min="13828" max="13828" width="2.28515625" style="505" customWidth="1"/>
    <col min="13829" max="13832" width="11.7109375" style="505" customWidth="1"/>
    <col min="13833" max="13833" width="6.7109375" style="505" bestFit="1" customWidth="1"/>
    <col min="13834" max="13835" width="11.7109375" style="505" customWidth="1"/>
    <col min="13836" max="13836" width="12.7109375" style="505" bestFit="1" customWidth="1"/>
    <col min="13837" max="13837" width="14.42578125" style="505" customWidth="1"/>
    <col min="13838" max="13842" width="4.140625" style="505" customWidth="1"/>
    <col min="13843" max="14080" width="8.85546875" style="505"/>
    <col min="14081" max="14081" width="8" style="505" bestFit="1" customWidth="1"/>
    <col min="14082" max="14082" width="5.85546875" style="505" bestFit="1" customWidth="1"/>
    <col min="14083" max="14083" width="4.140625" style="505" customWidth="1"/>
    <col min="14084" max="14084" width="2.28515625" style="505" customWidth="1"/>
    <col min="14085" max="14088" width="11.7109375" style="505" customWidth="1"/>
    <col min="14089" max="14089" width="6.7109375" style="505" bestFit="1" customWidth="1"/>
    <col min="14090" max="14091" width="11.7109375" style="505" customWidth="1"/>
    <col min="14092" max="14092" width="12.7109375" style="505" bestFit="1" customWidth="1"/>
    <col min="14093" max="14093" width="14.42578125" style="505" customWidth="1"/>
    <col min="14094" max="14098" width="4.140625" style="505" customWidth="1"/>
    <col min="14099" max="14336" width="8.85546875" style="505"/>
    <col min="14337" max="14337" width="8" style="505" bestFit="1" customWidth="1"/>
    <col min="14338" max="14338" width="5.85546875" style="505" bestFit="1" customWidth="1"/>
    <col min="14339" max="14339" width="4.140625" style="505" customWidth="1"/>
    <col min="14340" max="14340" width="2.28515625" style="505" customWidth="1"/>
    <col min="14341" max="14344" width="11.7109375" style="505" customWidth="1"/>
    <col min="14345" max="14345" width="6.7109375" style="505" bestFit="1" customWidth="1"/>
    <col min="14346" max="14347" width="11.7109375" style="505" customWidth="1"/>
    <col min="14348" max="14348" width="12.7109375" style="505" bestFit="1" customWidth="1"/>
    <col min="14349" max="14349" width="14.42578125" style="505" customWidth="1"/>
    <col min="14350" max="14354" width="4.140625" style="505" customWidth="1"/>
    <col min="14355" max="14592" width="8.85546875" style="505"/>
    <col min="14593" max="14593" width="8" style="505" bestFit="1" customWidth="1"/>
    <col min="14594" max="14594" width="5.85546875" style="505" bestFit="1" customWidth="1"/>
    <col min="14595" max="14595" width="4.140625" style="505" customWidth="1"/>
    <col min="14596" max="14596" width="2.28515625" style="505" customWidth="1"/>
    <col min="14597" max="14600" width="11.7109375" style="505" customWidth="1"/>
    <col min="14601" max="14601" width="6.7109375" style="505" bestFit="1" customWidth="1"/>
    <col min="14602" max="14603" width="11.7109375" style="505" customWidth="1"/>
    <col min="14604" max="14604" width="12.7109375" style="505" bestFit="1" customWidth="1"/>
    <col min="14605" max="14605" width="14.42578125" style="505" customWidth="1"/>
    <col min="14606" max="14610" width="4.140625" style="505" customWidth="1"/>
    <col min="14611" max="14848" width="8.85546875" style="505"/>
    <col min="14849" max="14849" width="8" style="505" bestFit="1" customWidth="1"/>
    <col min="14850" max="14850" width="5.85546875" style="505" bestFit="1" customWidth="1"/>
    <col min="14851" max="14851" width="4.140625" style="505" customWidth="1"/>
    <col min="14852" max="14852" width="2.28515625" style="505" customWidth="1"/>
    <col min="14853" max="14856" width="11.7109375" style="505" customWidth="1"/>
    <col min="14857" max="14857" width="6.7109375" style="505" bestFit="1" customWidth="1"/>
    <col min="14858" max="14859" width="11.7109375" style="505" customWidth="1"/>
    <col min="14860" max="14860" width="12.7109375" style="505" bestFit="1" customWidth="1"/>
    <col min="14861" max="14861" width="14.42578125" style="505" customWidth="1"/>
    <col min="14862" max="14866" width="4.140625" style="505" customWidth="1"/>
    <col min="14867" max="15104" width="8.85546875" style="505"/>
    <col min="15105" max="15105" width="8" style="505" bestFit="1" customWidth="1"/>
    <col min="15106" max="15106" width="5.85546875" style="505" bestFit="1" customWidth="1"/>
    <col min="15107" max="15107" width="4.140625" style="505" customWidth="1"/>
    <col min="15108" max="15108" width="2.28515625" style="505" customWidth="1"/>
    <col min="15109" max="15112" width="11.7109375" style="505" customWidth="1"/>
    <col min="15113" max="15113" width="6.7109375" style="505" bestFit="1" customWidth="1"/>
    <col min="15114" max="15115" width="11.7109375" style="505" customWidth="1"/>
    <col min="15116" max="15116" width="12.7109375" style="505" bestFit="1" customWidth="1"/>
    <col min="15117" max="15117" width="14.42578125" style="505" customWidth="1"/>
    <col min="15118" max="15122" width="4.140625" style="505" customWidth="1"/>
    <col min="15123" max="15360" width="8.85546875" style="505"/>
    <col min="15361" max="15361" width="8" style="505" bestFit="1" customWidth="1"/>
    <col min="15362" max="15362" width="5.85546875" style="505" bestFit="1" customWidth="1"/>
    <col min="15363" max="15363" width="4.140625" style="505" customWidth="1"/>
    <col min="15364" max="15364" width="2.28515625" style="505" customWidth="1"/>
    <col min="15365" max="15368" width="11.7109375" style="505" customWidth="1"/>
    <col min="15369" max="15369" width="6.7109375" style="505" bestFit="1" customWidth="1"/>
    <col min="15370" max="15371" width="11.7109375" style="505" customWidth="1"/>
    <col min="15372" max="15372" width="12.7109375" style="505" bestFit="1" customWidth="1"/>
    <col min="15373" max="15373" width="14.42578125" style="505" customWidth="1"/>
    <col min="15374" max="15378" width="4.140625" style="505" customWidth="1"/>
    <col min="15379" max="15616" width="8.85546875" style="505"/>
    <col min="15617" max="15617" width="8" style="505" bestFit="1" customWidth="1"/>
    <col min="15618" max="15618" width="5.85546875" style="505" bestFit="1" customWidth="1"/>
    <col min="15619" max="15619" width="4.140625" style="505" customWidth="1"/>
    <col min="15620" max="15620" width="2.28515625" style="505" customWidth="1"/>
    <col min="15621" max="15624" width="11.7109375" style="505" customWidth="1"/>
    <col min="15625" max="15625" width="6.7109375" style="505" bestFit="1" customWidth="1"/>
    <col min="15626" max="15627" width="11.7109375" style="505" customWidth="1"/>
    <col min="15628" max="15628" width="12.7109375" style="505" bestFit="1" customWidth="1"/>
    <col min="15629" max="15629" width="14.42578125" style="505" customWidth="1"/>
    <col min="15630" max="15634" width="4.140625" style="505" customWidth="1"/>
    <col min="15635" max="15872" width="8.85546875" style="505"/>
    <col min="15873" max="15873" width="8" style="505" bestFit="1" customWidth="1"/>
    <col min="15874" max="15874" width="5.85546875" style="505" bestFit="1" customWidth="1"/>
    <col min="15875" max="15875" width="4.140625" style="505" customWidth="1"/>
    <col min="15876" max="15876" width="2.28515625" style="505" customWidth="1"/>
    <col min="15877" max="15880" width="11.7109375" style="505" customWidth="1"/>
    <col min="15881" max="15881" width="6.7109375" style="505" bestFit="1" customWidth="1"/>
    <col min="15882" max="15883" width="11.7109375" style="505" customWidth="1"/>
    <col min="15884" max="15884" width="12.7109375" style="505" bestFit="1" customWidth="1"/>
    <col min="15885" max="15885" width="14.42578125" style="505" customWidth="1"/>
    <col min="15886" max="15890" width="4.140625" style="505" customWidth="1"/>
    <col min="15891" max="16128" width="8.85546875" style="505"/>
    <col min="16129" max="16129" width="8" style="505" bestFit="1" customWidth="1"/>
    <col min="16130" max="16130" width="5.85546875" style="505" bestFit="1" customWidth="1"/>
    <col min="16131" max="16131" width="4.140625" style="505" customWidth="1"/>
    <col min="16132" max="16132" width="2.28515625" style="505" customWidth="1"/>
    <col min="16133" max="16136" width="11.7109375" style="505" customWidth="1"/>
    <col min="16137" max="16137" width="6.7109375" style="505" bestFit="1" customWidth="1"/>
    <col min="16138" max="16139" width="11.7109375" style="505" customWidth="1"/>
    <col min="16140" max="16140" width="12.7109375" style="505" bestFit="1" customWidth="1"/>
    <col min="16141" max="16141" width="14.42578125" style="505" customWidth="1"/>
    <col min="16142" max="16146" width="4.140625" style="505" customWidth="1"/>
    <col min="16147" max="16384" width="8.85546875" style="505"/>
  </cols>
  <sheetData>
    <row r="1" spans="1:18" s="589" customFormat="1" ht="20.25">
      <c r="A1" s="544" t="s">
        <v>2249</v>
      </c>
      <c r="B1" s="545"/>
      <c r="C1" s="546"/>
      <c r="D1" s="546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7"/>
    </row>
    <row r="2" spans="1:18" s="589" customFormat="1" ht="15.75">
      <c r="A2" s="548"/>
      <c r="B2" s="549"/>
      <c r="C2" s="549"/>
      <c r="D2" s="549"/>
      <c r="E2" s="550" t="s">
        <v>2170</v>
      </c>
      <c r="F2" s="1004"/>
      <c r="G2" s="1005"/>
      <c r="H2" s="551" t="s">
        <v>2250</v>
      </c>
      <c r="I2" s="549"/>
      <c r="J2" s="549"/>
      <c r="K2" s="550" t="s">
        <v>2171</v>
      </c>
      <c r="L2" s="1006"/>
      <c r="M2" s="1007"/>
      <c r="N2" s="1007"/>
      <c r="O2" s="1007"/>
      <c r="P2" s="1007"/>
      <c r="Q2" s="1007"/>
      <c r="R2" s="1008"/>
    </row>
    <row r="3" spans="1:18" s="589" customFormat="1" ht="15.75">
      <c r="A3" s="548"/>
      <c r="B3" s="549"/>
      <c r="C3" s="549"/>
      <c r="D3" s="549"/>
      <c r="E3" s="550" t="s">
        <v>2172</v>
      </c>
      <c r="F3" s="1009">
        <f>L18</f>
        <v>1011.5307</v>
      </c>
      <c r="G3" s="1005"/>
      <c r="H3" s="552" t="s">
        <v>2173</v>
      </c>
      <c r="I3" s="549"/>
      <c r="J3" s="549"/>
      <c r="K3" s="550" t="s">
        <v>2174</v>
      </c>
      <c r="L3" s="1007"/>
      <c r="M3" s="1007"/>
      <c r="N3" s="1007"/>
      <c r="O3" s="1007"/>
      <c r="P3" s="1007"/>
      <c r="Q3" s="1007"/>
      <c r="R3" s="1008"/>
    </row>
    <row r="4" spans="1:18" s="589" customFormat="1" ht="15.75">
      <c r="A4" s="553" t="s">
        <v>2175</v>
      </c>
      <c r="B4" s="549"/>
      <c r="C4" s="549"/>
      <c r="D4" s="549"/>
      <c r="E4" s="550" t="s">
        <v>2176</v>
      </c>
      <c r="F4" s="1009">
        <f>M18</f>
        <v>1898.1501000000001</v>
      </c>
      <c r="G4" s="1005"/>
      <c r="H4" s="552" t="s">
        <v>2173</v>
      </c>
      <c r="I4" s="549"/>
      <c r="J4" s="549"/>
      <c r="K4" s="550" t="s">
        <v>2177</v>
      </c>
      <c r="L4" s="1010"/>
      <c r="M4" s="1010"/>
      <c r="N4" s="1010"/>
      <c r="O4" s="1010"/>
      <c r="P4" s="1010"/>
      <c r="Q4" s="1010"/>
      <c r="R4" s="1011"/>
    </row>
    <row r="5" spans="1:18" s="589" customFormat="1" ht="18">
      <c r="A5" s="1017" t="s">
        <v>2178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  <c r="R5" s="1019"/>
    </row>
    <row r="6" spans="1:18" s="589" customFormat="1" ht="12.75" customHeight="1">
      <c r="A6" s="1020" t="s">
        <v>2179</v>
      </c>
      <c r="B6" s="1021" t="s">
        <v>2180</v>
      </c>
      <c r="C6" s="1021"/>
      <c r="D6" s="1021"/>
      <c r="E6" s="1021" t="s">
        <v>2181</v>
      </c>
      <c r="F6" s="1021"/>
      <c r="G6" s="1021" t="s">
        <v>2182</v>
      </c>
      <c r="H6" s="1021"/>
      <c r="I6" s="1022" t="s">
        <v>2183</v>
      </c>
      <c r="J6" s="1023" t="s">
        <v>2184</v>
      </c>
      <c r="K6" s="1024"/>
      <c r="L6" s="1024"/>
      <c r="M6" s="1025"/>
      <c r="N6" s="1021" t="s">
        <v>2185</v>
      </c>
      <c r="O6" s="1021"/>
      <c r="P6" s="1021"/>
      <c r="Q6" s="1021"/>
      <c r="R6" s="1021"/>
    </row>
    <row r="7" spans="1:18" s="589" customFormat="1">
      <c r="A7" s="1020"/>
      <c r="B7" s="1026" t="s">
        <v>1468</v>
      </c>
      <c r="C7" s="1026" t="s">
        <v>1469</v>
      </c>
      <c r="D7" s="1026"/>
      <c r="E7" s="554" t="s">
        <v>1468</v>
      </c>
      <c r="F7" s="554" t="s">
        <v>1469</v>
      </c>
      <c r="G7" s="554" t="s">
        <v>1468</v>
      </c>
      <c r="H7" s="554" t="s">
        <v>1469</v>
      </c>
      <c r="I7" s="1022"/>
      <c r="J7" s="1021" t="s">
        <v>2186</v>
      </c>
      <c r="K7" s="1021"/>
      <c r="L7" s="1027" t="s">
        <v>2187</v>
      </c>
      <c r="M7" s="1028"/>
      <c r="N7" s="1021" t="s">
        <v>2188</v>
      </c>
      <c r="O7" s="1021"/>
      <c r="P7" s="1021"/>
      <c r="Q7" s="1021"/>
      <c r="R7" s="1021"/>
    </row>
    <row r="8" spans="1:18" s="589" customFormat="1">
      <c r="A8" s="1020"/>
      <c r="B8" s="1026"/>
      <c r="C8" s="1026"/>
      <c r="D8" s="1026"/>
      <c r="E8" s="1003" t="s">
        <v>2189</v>
      </c>
      <c r="F8" s="1003" t="s">
        <v>2189</v>
      </c>
      <c r="G8" s="1003" t="s">
        <v>2189</v>
      </c>
      <c r="H8" s="1003" t="s">
        <v>2189</v>
      </c>
      <c r="I8" s="1022"/>
      <c r="J8" s="554" t="s">
        <v>1468</v>
      </c>
      <c r="K8" s="554" t="s">
        <v>1469</v>
      </c>
      <c r="L8" s="1012" t="s">
        <v>2190</v>
      </c>
      <c r="M8" s="1012" t="s">
        <v>2191</v>
      </c>
      <c r="N8" s="554" t="s">
        <v>2192</v>
      </c>
      <c r="O8" s="554" t="s">
        <v>2193</v>
      </c>
      <c r="P8" s="554" t="s">
        <v>2194</v>
      </c>
      <c r="Q8" s="554" t="s">
        <v>2195</v>
      </c>
      <c r="R8" s="554" t="s">
        <v>2196</v>
      </c>
    </row>
    <row r="9" spans="1:18" s="589" customFormat="1">
      <c r="A9" s="1020"/>
      <c r="B9" s="1026"/>
      <c r="C9" s="1026"/>
      <c r="D9" s="1026"/>
      <c r="E9" s="1003"/>
      <c r="F9" s="1003"/>
      <c r="G9" s="1003"/>
      <c r="H9" s="1003"/>
      <c r="I9" s="1022"/>
      <c r="J9" s="543" t="s">
        <v>2173</v>
      </c>
      <c r="K9" s="543" t="s">
        <v>2173</v>
      </c>
      <c r="L9" s="1012"/>
      <c r="M9" s="1012"/>
      <c r="N9" s="554" t="s">
        <v>2173</v>
      </c>
      <c r="O9" s="554" t="s">
        <v>2197</v>
      </c>
      <c r="P9" s="554" t="s">
        <v>2198</v>
      </c>
      <c r="Q9" s="554" t="s">
        <v>2173</v>
      </c>
      <c r="R9" s="554" t="s">
        <v>2173</v>
      </c>
    </row>
    <row r="10" spans="1:18" s="589" customFormat="1" ht="15" customHeight="1">
      <c r="A10" s="555" t="s">
        <v>2199</v>
      </c>
      <c r="B10" s="556"/>
      <c r="C10" s="556"/>
      <c r="D10" s="556"/>
      <c r="E10" s="557">
        <v>0</v>
      </c>
      <c r="F10" s="557">
        <v>0</v>
      </c>
      <c r="G10" s="556"/>
      <c r="H10" s="556"/>
      <c r="I10" s="558"/>
      <c r="J10" s="556"/>
      <c r="K10" s="556"/>
      <c r="L10" s="556">
        <v>0</v>
      </c>
      <c r="M10" s="556">
        <v>0</v>
      </c>
      <c r="N10" s="559"/>
      <c r="O10" s="559"/>
      <c r="P10" s="559"/>
      <c r="Q10" s="559"/>
      <c r="R10" s="559"/>
    </row>
    <row r="11" spans="1:18" s="589" customFormat="1" ht="15" customHeight="1">
      <c r="A11" s="560" t="s">
        <v>2200</v>
      </c>
      <c r="B11" s="556"/>
      <c r="C11" s="556"/>
      <c r="D11" s="556"/>
      <c r="E11" s="557">
        <v>1.79</v>
      </c>
      <c r="F11" s="557">
        <v>27.72</v>
      </c>
      <c r="G11" s="556">
        <f t="shared" ref="G11:H15" si="0">SUM(E10+E11)</f>
        <v>1.79</v>
      </c>
      <c r="H11" s="556">
        <f t="shared" si="0"/>
        <v>27.72</v>
      </c>
      <c r="I11" s="558">
        <v>1.33</v>
      </c>
      <c r="J11" s="556">
        <f>G11*I11</f>
        <v>2.3807</v>
      </c>
      <c r="K11" s="556">
        <f>H11*I11</f>
        <v>36.867600000000003</v>
      </c>
      <c r="L11" s="556">
        <f t="shared" ref="L11:M13" si="1">SUM(L10+J11)</f>
        <v>2.3807</v>
      </c>
      <c r="M11" s="556">
        <f t="shared" si="1"/>
        <v>36.867600000000003</v>
      </c>
      <c r="N11" s="559"/>
      <c r="O11" s="559"/>
      <c r="P11" s="559"/>
      <c r="Q11" s="559"/>
      <c r="R11" s="559"/>
    </row>
    <row r="12" spans="1:18" s="589" customFormat="1" ht="15" customHeight="1">
      <c r="A12" s="560" t="s">
        <v>2201</v>
      </c>
      <c r="B12" s="556"/>
      <c r="C12" s="556"/>
      <c r="D12" s="556"/>
      <c r="E12" s="557">
        <v>7.03</v>
      </c>
      <c r="F12" s="557">
        <v>19.850000000000001</v>
      </c>
      <c r="G12" s="556">
        <f t="shared" si="0"/>
        <v>8.82</v>
      </c>
      <c r="H12" s="556">
        <f t="shared" si="0"/>
        <v>47.57</v>
      </c>
      <c r="I12" s="558">
        <v>12.5</v>
      </c>
      <c r="J12" s="556">
        <f>G12*I12</f>
        <v>110.25</v>
      </c>
      <c r="K12" s="556">
        <f>H12*I12</f>
        <v>594.625</v>
      </c>
      <c r="L12" s="556">
        <f t="shared" si="1"/>
        <v>112.6307</v>
      </c>
      <c r="M12" s="556">
        <f t="shared" si="1"/>
        <v>631.49260000000004</v>
      </c>
      <c r="N12" s="559"/>
      <c r="O12" s="559"/>
      <c r="P12" s="559"/>
      <c r="Q12" s="559"/>
      <c r="R12" s="559"/>
    </row>
    <row r="13" spans="1:18" s="589" customFormat="1" ht="15" customHeight="1">
      <c r="A13" s="560" t="s">
        <v>2237</v>
      </c>
      <c r="B13" s="556"/>
      <c r="C13" s="556"/>
      <c r="D13" s="556"/>
      <c r="E13" s="557">
        <v>21.44</v>
      </c>
      <c r="F13" s="557">
        <v>19.03</v>
      </c>
      <c r="G13" s="556">
        <f>SUM(E12+E13)</f>
        <v>28.470000000000002</v>
      </c>
      <c r="H13" s="556">
        <f t="shared" si="0"/>
        <v>38.880000000000003</v>
      </c>
      <c r="I13" s="558">
        <v>12.5</v>
      </c>
      <c r="J13" s="556">
        <f>G13*I13</f>
        <v>355.87500000000006</v>
      </c>
      <c r="K13" s="556">
        <f>H13*I13</f>
        <v>486.00000000000006</v>
      </c>
      <c r="L13" s="556">
        <f t="shared" si="1"/>
        <v>468.50570000000005</v>
      </c>
      <c r="M13" s="556">
        <f t="shared" si="1"/>
        <v>1117.4926</v>
      </c>
      <c r="N13" s="559"/>
      <c r="O13" s="559"/>
      <c r="P13" s="559"/>
      <c r="Q13" s="559"/>
      <c r="R13" s="559"/>
    </row>
    <row r="14" spans="1:18" s="589" customFormat="1" ht="15" customHeight="1">
      <c r="A14" s="560" t="s">
        <v>2238</v>
      </c>
      <c r="B14" s="556"/>
      <c r="C14" s="556"/>
      <c r="D14" s="556"/>
      <c r="E14" s="557">
        <v>19.3</v>
      </c>
      <c r="F14" s="557">
        <v>38.090000000000003</v>
      </c>
      <c r="G14" s="556">
        <f>SUM(E13+E14)</f>
        <v>40.74</v>
      </c>
      <c r="H14" s="556">
        <f t="shared" si="0"/>
        <v>57.120000000000005</v>
      </c>
      <c r="I14" s="558">
        <v>12.5</v>
      </c>
      <c r="J14" s="556">
        <f>G14*I14</f>
        <v>509.25</v>
      </c>
      <c r="K14" s="556">
        <f>H14*I14</f>
        <v>714</v>
      </c>
      <c r="L14" s="556">
        <f>SUM(L13+J14)</f>
        <v>977.75570000000005</v>
      </c>
      <c r="M14" s="556">
        <f>SUM(M13+K14)</f>
        <v>1831.4926</v>
      </c>
      <c r="N14" s="559"/>
      <c r="O14" s="559"/>
      <c r="P14" s="559"/>
      <c r="Q14" s="559"/>
      <c r="R14" s="559"/>
    </row>
    <row r="15" spans="1:18" s="589" customFormat="1" ht="15" customHeight="1">
      <c r="A15" s="560" t="s">
        <v>2199</v>
      </c>
      <c r="B15" s="556"/>
      <c r="C15" s="556"/>
      <c r="D15" s="556"/>
      <c r="E15" s="557">
        <v>0</v>
      </c>
      <c r="F15" s="557">
        <v>0</v>
      </c>
      <c r="G15" s="556">
        <f>SUM(E14+E15)</f>
        <v>19.3</v>
      </c>
      <c r="H15" s="556">
        <f t="shared" si="0"/>
        <v>38.090000000000003</v>
      </c>
      <c r="I15" s="558">
        <v>1.75</v>
      </c>
      <c r="J15" s="556">
        <f>G15*I15</f>
        <v>33.774999999999999</v>
      </c>
      <c r="K15" s="556">
        <f>H15*I15</f>
        <v>66.657499999999999</v>
      </c>
      <c r="L15" s="556">
        <f>SUM(L14+J15)</f>
        <v>1011.5307</v>
      </c>
      <c r="M15" s="556">
        <f>SUM(M14+K15)</f>
        <v>1898.1501000000001</v>
      </c>
      <c r="N15" s="559"/>
      <c r="O15" s="559"/>
      <c r="P15" s="559"/>
      <c r="Q15" s="559"/>
      <c r="R15" s="559"/>
    </row>
    <row r="16" spans="1:18" s="589" customFormat="1" ht="15" customHeight="1">
      <c r="A16" s="561"/>
      <c r="B16" s="562"/>
      <c r="C16" s="563"/>
      <c r="D16" s="563"/>
      <c r="E16" s="563"/>
      <c r="F16" s="563"/>
      <c r="G16" s="563"/>
      <c r="H16" s="563"/>
      <c r="I16" s="1029" t="s">
        <v>106</v>
      </c>
      <c r="J16" s="1030"/>
      <c r="K16" s="1031"/>
      <c r="L16" s="564">
        <f>L15</f>
        <v>1011.5307</v>
      </c>
      <c r="M16" s="564">
        <f>M15</f>
        <v>1898.1501000000001</v>
      </c>
      <c r="N16" s="565" t="s">
        <v>2173</v>
      </c>
      <c r="O16" s="559"/>
      <c r="P16" s="559"/>
      <c r="Q16" s="559"/>
      <c r="R16" s="559"/>
    </row>
    <row r="17" spans="1:18" s="589" customFormat="1" ht="15" customHeight="1">
      <c r="A17" s="561"/>
      <c r="B17" s="556"/>
      <c r="C17" s="556"/>
      <c r="D17" s="556"/>
      <c r="E17" s="556"/>
      <c r="F17" s="556"/>
      <c r="G17" s="556"/>
      <c r="H17" s="556"/>
      <c r="I17" s="1032" t="s">
        <v>2202</v>
      </c>
      <c r="J17" s="1033"/>
      <c r="K17" s="1034"/>
      <c r="L17" s="564"/>
      <c r="M17" s="566"/>
      <c r="N17" s="565"/>
      <c r="O17" s="559"/>
      <c r="P17" s="559"/>
      <c r="Q17" s="559"/>
      <c r="R17" s="559"/>
    </row>
    <row r="18" spans="1:18" s="589" customFormat="1" ht="20.100000000000001" customHeight="1">
      <c r="A18" s="1035" t="s">
        <v>2203</v>
      </c>
      <c r="B18" s="1035"/>
      <c r="C18" s="1035"/>
      <c r="D18" s="1035"/>
      <c r="E18" s="1035" t="s">
        <v>2204</v>
      </c>
      <c r="F18" s="1035"/>
      <c r="G18" s="1035" t="s">
        <v>2205</v>
      </c>
      <c r="H18" s="1035"/>
      <c r="I18" s="1036" t="s">
        <v>2206</v>
      </c>
      <c r="J18" s="1037"/>
      <c r="K18" s="1038"/>
      <c r="L18" s="567">
        <f>L16+L17</f>
        <v>1011.5307</v>
      </c>
      <c r="M18" s="567">
        <f>M16+M17</f>
        <v>1898.1501000000001</v>
      </c>
      <c r="N18" s="565" t="s">
        <v>2173</v>
      </c>
      <c r="O18" s="568"/>
      <c r="P18" s="559"/>
      <c r="Q18" s="559"/>
      <c r="R18" s="559"/>
    </row>
    <row r="19" spans="1:18" s="589" customFormat="1" ht="18" customHeight="1">
      <c r="A19" s="1013" t="s">
        <v>2207</v>
      </c>
      <c r="B19" s="1014"/>
      <c r="C19" s="569" t="s">
        <v>2208</v>
      </c>
      <c r="D19" s="570"/>
      <c r="E19" s="570"/>
      <c r="F19" s="570"/>
      <c r="G19" s="570"/>
      <c r="H19" s="570"/>
      <c r="I19" s="570"/>
      <c r="J19" s="570"/>
      <c r="K19" s="570"/>
      <c r="L19" s="570"/>
      <c r="M19" s="570"/>
      <c r="N19" s="570"/>
      <c r="O19" s="570"/>
      <c r="P19" s="570"/>
      <c r="Q19" s="570"/>
      <c r="R19" s="571"/>
    </row>
    <row r="20" spans="1:18" s="589" customFormat="1" ht="18" customHeight="1">
      <c r="A20" s="1013"/>
      <c r="B20" s="1014"/>
      <c r="C20" s="569"/>
      <c r="D20" s="570"/>
      <c r="E20" s="570"/>
      <c r="F20" s="570"/>
      <c r="G20" s="570"/>
      <c r="H20" s="572"/>
      <c r="I20" s="570"/>
      <c r="J20" s="570"/>
      <c r="K20" s="570"/>
      <c r="L20" s="570"/>
      <c r="M20" s="570"/>
      <c r="N20" s="570"/>
      <c r="O20" s="570"/>
      <c r="P20" s="570"/>
      <c r="Q20" s="570"/>
      <c r="R20" s="571"/>
    </row>
    <row r="21" spans="1:18" s="589" customFormat="1" ht="18" customHeight="1">
      <c r="A21" s="1015"/>
      <c r="B21" s="1016"/>
      <c r="C21" s="569"/>
      <c r="D21" s="570"/>
      <c r="E21" s="570"/>
      <c r="F21" s="570"/>
      <c r="G21" s="570"/>
      <c r="H21" s="570"/>
      <c r="I21" s="570"/>
      <c r="J21" s="570"/>
      <c r="K21" s="570"/>
      <c r="L21" s="570"/>
      <c r="M21" s="570"/>
      <c r="N21" s="570"/>
      <c r="O21" s="570"/>
      <c r="P21" s="570"/>
      <c r="Q21" s="570"/>
      <c r="R21" s="571"/>
    </row>
    <row r="23" spans="1:18">
      <c r="A23" s="505" t="s">
        <v>2214</v>
      </c>
      <c r="F23" s="506">
        <f>M18</f>
        <v>1898.1501000000001</v>
      </c>
      <c r="G23" s="505" t="s">
        <v>97</v>
      </c>
    </row>
    <row r="24" spans="1:18">
      <c r="A24" s="505" t="s">
        <v>2215</v>
      </c>
      <c r="F24" s="506">
        <f>L18</f>
        <v>1011.5307</v>
      </c>
      <c r="G24" s="505" t="s">
        <v>97</v>
      </c>
    </row>
    <row r="25" spans="1:18">
      <c r="A25" s="505" t="s">
        <v>2219</v>
      </c>
      <c r="F25" s="506"/>
    </row>
    <row r="26" spans="1:18">
      <c r="E26" s="505" t="s">
        <v>2216</v>
      </c>
      <c r="F26" s="506">
        <f>F23*1.25</f>
        <v>2372.687625</v>
      </c>
      <c r="G26" s="505" t="s">
        <v>97</v>
      </c>
    </row>
    <row r="27" spans="1:18">
      <c r="E27" s="505" t="s">
        <v>2217</v>
      </c>
      <c r="F27" s="506">
        <f>F24*1.25</f>
        <v>1264.4133750000001</v>
      </c>
      <c r="G27" s="505" t="s">
        <v>97</v>
      </c>
    </row>
    <row r="28" spans="1:18">
      <c r="E28" s="505" t="s">
        <v>2218</v>
      </c>
      <c r="F28" s="506">
        <f>SUM(F26:F27)</f>
        <v>3637.1010000000001</v>
      </c>
      <c r="G28" s="505" t="s">
        <v>97</v>
      </c>
    </row>
    <row r="29" spans="1:18">
      <c r="F29" s="506"/>
    </row>
    <row r="30" spans="1:18">
      <c r="F30" s="506"/>
    </row>
    <row r="31" spans="1:18">
      <c r="F31" s="506"/>
    </row>
  </sheetData>
  <mergeCells count="33">
    <mergeCell ref="I16:K16"/>
    <mergeCell ref="I17:K17"/>
    <mergeCell ref="A18:D18"/>
    <mergeCell ref="E18:F18"/>
    <mergeCell ref="G18:H18"/>
    <mergeCell ref="I18:K18"/>
    <mergeCell ref="A19:B21"/>
    <mergeCell ref="A5:R5"/>
    <mergeCell ref="A6:A9"/>
    <mergeCell ref="B6:D6"/>
    <mergeCell ref="E6:F6"/>
    <mergeCell ref="G6:H6"/>
    <mergeCell ref="I6:I9"/>
    <mergeCell ref="J6:M6"/>
    <mergeCell ref="N6:R6"/>
    <mergeCell ref="B7:B9"/>
    <mergeCell ref="C7:C9"/>
    <mergeCell ref="D7:D9"/>
    <mergeCell ref="J7:K7"/>
    <mergeCell ref="L7:M7"/>
    <mergeCell ref="N7:R7"/>
    <mergeCell ref="E8:E9"/>
    <mergeCell ref="F8:F9"/>
    <mergeCell ref="F2:G2"/>
    <mergeCell ref="L2:R2"/>
    <mergeCell ref="F3:G3"/>
    <mergeCell ref="L3:R3"/>
    <mergeCell ref="F4:G4"/>
    <mergeCell ref="L4:R4"/>
    <mergeCell ref="G8:G9"/>
    <mergeCell ref="H8:H9"/>
    <mergeCell ref="L8:L9"/>
    <mergeCell ref="M8:M9"/>
  </mergeCells>
  <printOptions horizontalCentered="1" verticalCentered="1"/>
  <pageMargins left="0.19685039370078741" right="0.19685039370078741" top="0" bottom="0" header="0.51181102362204722" footer="0.51181102362204722"/>
  <pageSetup paperSize="9" scale="70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workbookViewId="0">
      <selection sqref="A1:A2"/>
    </sheetView>
  </sheetViews>
  <sheetFormatPr defaultRowHeight="12.75"/>
  <cols>
    <col min="1" max="1" width="25.85546875" customWidth="1"/>
    <col min="5" max="5" width="11" bestFit="1" customWidth="1"/>
    <col min="6" max="6" width="7.28515625" bestFit="1" customWidth="1"/>
    <col min="7" max="7" width="7.7109375" bestFit="1" customWidth="1"/>
    <col min="8" max="8" width="7.28515625" bestFit="1" customWidth="1"/>
    <col min="9" max="9" width="10.85546875" hidden="1" customWidth="1"/>
    <col min="10" max="10" width="11.5703125" style="88" bestFit="1" customWidth="1"/>
    <col min="11" max="11" width="8.85546875" style="3" bestFit="1" customWidth="1"/>
    <col min="12" max="12" width="14.7109375" bestFit="1" customWidth="1"/>
    <col min="13" max="13" width="21.28515625" customWidth="1"/>
    <col min="17" max="17" width="10" bestFit="1" customWidth="1"/>
  </cols>
  <sheetData>
    <row r="1" spans="1:18" ht="13.5" thickBot="1">
      <c r="A1" s="1051" t="s">
        <v>209</v>
      </c>
      <c r="B1" s="1053" t="s">
        <v>117</v>
      </c>
      <c r="C1" s="1053" t="s">
        <v>169</v>
      </c>
      <c r="D1" s="1053" t="s">
        <v>175</v>
      </c>
      <c r="E1" s="1055" t="s">
        <v>177</v>
      </c>
      <c r="F1" s="1055"/>
      <c r="G1" s="1055"/>
      <c r="H1" s="1055"/>
      <c r="I1" s="1055"/>
      <c r="J1" s="1055"/>
      <c r="K1" s="1044" t="s">
        <v>261</v>
      </c>
      <c r="M1" s="22" t="s">
        <v>156</v>
      </c>
      <c r="N1" s="15"/>
      <c r="O1" s="15"/>
      <c r="P1" s="15"/>
      <c r="Q1" s="24"/>
      <c r="R1" s="48"/>
    </row>
    <row r="2" spans="1:18" ht="13.5" thickBot="1">
      <c r="A2" s="1052"/>
      <c r="B2" s="1054"/>
      <c r="C2" s="1054" t="s">
        <v>169</v>
      </c>
      <c r="D2" s="1054" t="s">
        <v>169</v>
      </c>
      <c r="E2" s="72" t="s">
        <v>206</v>
      </c>
      <c r="F2" s="72" t="s">
        <v>195</v>
      </c>
      <c r="G2" s="72" t="s">
        <v>206</v>
      </c>
      <c r="H2" s="72" t="s">
        <v>195</v>
      </c>
      <c r="I2" s="73" t="s">
        <v>194</v>
      </c>
      <c r="J2" s="74" t="s">
        <v>210</v>
      </c>
      <c r="K2" s="1045"/>
      <c r="M2" s="21" t="s">
        <v>2153</v>
      </c>
      <c r="N2" s="13" t="s">
        <v>117</v>
      </c>
      <c r="O2" s="13" t="s">
        <v>169</v>
      </c>
      <c r="P2" s="17" t="s">
        <v>175</v>
      </c>
      <c r="Q2" s="14" t="s">
        <v>197</v>
      </c>
      <c r="R2" s="45" t="s">
        <v>189</v>
      </c>
    </row>
    <row r="3" spans="1:18">
      <c r="A3" s="68" t="s">
        <v>116</v>
      </c>
      <c r="B3" s="12">
        <v>11.38</v>
      </c>
      <c r="C3" s="12">
        <v>2.94</v>
      </c>
      <c r="D3" s="12">
        <f>B3*C3</f>
        <v>33.4572</v>
      </c>
      <c r="E3" s="69" t="s">
        <v>183</v>
      </c>
      <c r="F3" s="42">
        <v>1</v>
      </c>
      <c r="G3" s="42"/>
      <c r="H3" s="42"/>
      <c r="I3" s="42"/>
      <c r="J3" s="70">
        <f>D3-I3</f>
        <v>33.4572</v>
      </c>
      <c r="K3" s="71">
        <v>9.33</v>
      </c>
      <c r="M3" s="7" t="s">
        <v>168</v>
      </c>
      <c r="N3" s="213">
        <v>7.41</v>
      </c>
      <c r="O3" s="213">
        <v>2.5</v>
      </c>
      <c r="P3" s="213">
        <f>N3*O3</f>
        <v>18.524999999999999</v>
      </c>
      <c r="Q3" s="27">
        <v>2.1</v>
      </c>
      <c r="R3" s="46">
        <f>P3-Q3</f>
        <v>16.424999999999997</v>
      </c>
    </row>
    <row r="4" spans="1:18">
      <c r="A4" s="216" t="s">
        <v>118</v>
      </c>
      <c r="B4" s="213">
        <v>9.06</v>
      </c>
      <c r="C4" s="213">
        <v>2.94</v>
      </c>
      <c r="D4" s="213">
        <f t="shared" ref="D4:D50" si="0">B4*C4</f>
        <v>26.636400000000002</v>
      </c>
      <c r="E4" s="29" t="s">
        <v>182</v>
      </c>
      <c r="F4" s="30">
        <v>1</v>
      </c>
      <c r="G4" s="31" t="s">
        <v>183</v>
      </c>
      <c r="H4" s="31">
        <v>6</v>
      </c>
      <c r="I4" s="30">
        <v>9.43</v>
      </c>
      <c r="J4" s="67">
        <f t="shared" ref="J4:J50" si="1">D4-I4</f>
        <v>17.206400000000002</v>
      </c>
      <c r="K4" s="66">
        <v>9.06</v>
      </c>
      <c r="M4" s="7" t="s">
        <v>157</v>
      </c>
      <c r="N4" s="213">
        <v>7.74</v>
      </c>
      <c r="O4" s="213">
        <v>2.5</v>
      </c>
      <c r="P4" s="213">
        <f>N4*O4</f>
        <v>19.350000000000001</v>
      </c>
      <c r="Q4" s="27"/>
      <c r="R4" s="46">
        <f>P4-Q4</f>
        <v>19.350000000000001</v>
      </c>
    </row>
    <row r="5" spans="1:18" ht="13.5" thickBot="1">
      <c r="A5" s="216" t="s">
        <v>123</v>
      </c>
      <c r="B5" s="213">
        <v>9.06</v>
      </c>
      <c r="C5" s="213">
        <v>2.94</v>
      </c>
      <c r="D5" s="213">
        <f t="shared" si="0"/>
        <v>26.636400000000002</v>
      </c>
      <c r="E5" s="31" t="s">
        <v>179</v>
      </c>
      <c r="F5" s="30">
        <v>1</v>
      </c>
      <c r="G5" s="31"/>
      <c r="H5" s="31"/>
      <c r="I5" s="30">
        <v>0.1</v>
      </c>
      <c r="J5" s="67">
        <f t="shared" si="1"/>
        <v>26.5364</v>
      </c>
      <c r="K5" s="66">
        <v>8.06</v>
      </c>
      <c r="M5" s="9" t="s">
        <v>160</v>
      </c>
      <c r="N5" s="10">
        <v>9.06</v>
      </c>
      <c r="O5" s="10">
        <v>2.5</v>
      </c>
      <c r="P5" s="10">
        <f>N5*O5</f>
        <v>22.650000000000002</v>
      </c>
      <c r="Q5" s="49">
        <f>2.1*2</f>
        <v>4.2</v>
      </c>
      <c r="R5" s="50">
        <f>P5-Q5</f>
        <v>18.450000000000003</v>
      </c>
    </row>
    <row r="6" spans="1:18">
      <c r="A6" s="216" t="s">
        <v>120</v>
      </c>
      <c r="B6" s="213">
        <v>10.23</v>
      </c>
      <c r="C6" s="213">
        <v>2.94</v>
      </c>
      <c r="D6" s="213">
        <f t="shared" si="0"/>
        <v>30.0762</v>
      </c>
      <c r="E6" s="31"/>
      <c r="F6" s="30"/>
      <c r="G6" s="31"/>
      <c r="H6" s="31"/>
      <c r="I6" s="30"/>
      <c r="J6" s="67">
        <f t="shared" si="1"/>
        <v>30.0762</v>
      </c>
      <c r="K6" s="66">
        <v>9.06</v>
      </c>
      <c r="N6" s="2"/>
      <c r="O6" s="2"/>
      <c r="P6" s="2">
        <f>SUM(P3:P5)</f>
        <v>60.525000000000006</v>
      </c>
      <c r="Q6" s="28" t="s">
        <v>196</v>
      </c>
      <c r="R6" s="47">
        <f>SUM(R3:R5)</f>
        <v>54.225000000000001</v>
      </c>
    </row>
    <row r="7" spans="1:18">
      <c r="A7" s="216" t="s">
        <v>155</v>
      </c>
      <c r="B7" s="213">
        <v>2.8</v>
      </c>
      <c r="C7" s="213">
        <v>2.2999999999999998</v>
      </c>
      <c r="D7" s="213">
        <f t="shared" si="0"/>
        <v>6.4399999999999995</v>
      </c>
      <c r="E7" s="31" t="s">
        <v>181</v>
      </c>
      <c r="F7" s="30">
        <v>1</v>
      </c>
      <c r="G7" s="31"/>
      <c r="H7" s="31"/>
      <c r="I7" s="30">
        <v>0.88</v>
      </c>
      <c r="J7" s="67">
        <f t="shared" si="1"/>
        <v>5.56</v>
      </c>
      <c r="K7" s="66">
        <v>1.8</v>
      </c>
    </row>
    <row r="8" spans="1:18">
      <c r="A8" s="216" t="s">
        <v>119</v>
      </c>
      <c r="B8" s="213">
        <v>2.8</v>
      </c>
      <c r="C8" s="213">
        <v>3</v>
      </c>
      <c r="D8" s="213">
        <f t="shared" si="0"/>
        <v>8.3999999999999986</v>
      </c>
      <c r="E8" s="31"/>
      <c r="F8" s="30"/>
      <c r="G8" s="31"/>
      <c r="H8" s="31"/>
      <c r="I8" s="30"/>
      <c r="J8" s="67">
        <f t="shared" si="1"/>
        <v>8.3999999999999986</v>
      </c>
      <c r="K8" s="233" t="s">
        <v>0</v>
      </c>
    </row>
    <row r="9" spans="1:18" ht="13.5" thickBot="1">
      <c r="A9" s="216" t="s">
        <v>121</v>
      </c>
      <c r="B9" s="213">
        <v>48.53</v>
      </c>
      <c r="C9" s="213">
        <v>3</v>
      </c>
      <c r="D9" s="213">
        <f t="shared" si="0"/>
        <v>145.59</v>
      </c>
      <c r="E9" s="31"/>
      <c r="F9" s="30"/>
      <c r="G9" s="31"/>
      <c r="H9" s="31"/>
      <c r="I9" s="30"/>
      <c r="J9" s="67">
        <f t="shared" si="1"/>
        <v>145.59</v>
      </c>
      <c r="K9" s="233" t="s">
        <v>0</v>
      </c>
      <c r="M9" t="s">
        <v>199</v>
      </c>
      <c r="N9" s="2"/>
      <c r="O9" s="2"/>
      <c r="P9" s="2"/>
      <c r="Q9" s="3"/>
    </row>
    <row r="10" spans="1:18">
      <c r="A10" s="216" t="s">
        <v>122</v>
      </c>
      <c r="B10" s="213">
        <v>2.8</v>
      </c>
      <c r="C10" s="213">
        <v>3</v>
      </c>
      <c r="D10" s="213">
        <f t="shared" si="0"/>
        <v>8.3999999999999986</v>
      </c>
      <c r="E10" s="31"/>
      <c r="F10" s="30"/>
      <c r="G10" s="31"/>
      <c r="H10" s="31"/>
      <c r="I10" s="30"/>
      <c r="J10" s="67">
        <f t="shared" si="1"/>
        <v>8.3999999999999986</v>
      </c>
      <c r="K10" s="233" t="s">
        <v>0</v>
      </c>
      <c r="M10" s="51" t="s">
        <v>211</v>
      </c>
      <c r="N10" s="52" t="s">
        <v>192</v>
      </c>
      <c r="O10" s="52" t="s">
        <v>192</v>
      </c>
      <c r="P10" s="52" t="s">
        <v>193</v>
      </c>
      <c r="Q10" s="53" t="s">
        <v>105</v>
      </c>
    </row>
    <row r="11" spans="1:18">
      <c r="A11" s="216" t="s">
        <v>143</v>
      </c>
      <c r="B11" s="213">
        <v>9.2100000000000009</v>
      </c>
      <c r="C11" s="213">
        <v>3</v>
      </c>
      <c r="D11" s="213">
        <f t="shared" si="0"/>
        <v>27.630000000000003</v>
      </c>
      <c r="E11" s="31"/>
      <c r="F11" s="30"/>
      <c r="G11" s="31"/>
      <c r="H11" s="31"/>
      <c r="I11" s="30"/>
      <c r="J11" s="67">
        <f t="shared" si="1"/>
        <v>27.630000000000003</v>
      </c>
      <c r="K11" s="66">
        <v>9.2100000000000009</v>
      </c>
      <c r="M11" s="234" t="s">
        <v>200</v>
      </c>
      <c r="N11" s="213">
        <v>1</v>
      </c>
      <c r="O11" s="213">
        <v>0.1</v>
      </c>
      <c r="P11" s="213">
        <v>1.8</v>
      </c>
      <c r="Q11" s="37">
        <f t="shared" ref="Q11:Q29" si="2">N11*O11*P11</f>
        <v>0.18000000000000002</v>
      </c>
    </row>
    <row r="12" spans="1:18">
      <c r="A12" s="216" t="s">
        <v>124</v>
      </c>
      <c r="B12" s="6">
        <v>12.9</v>
      </c>
      <c r="C12" s="213">
        <v>2.94</v>
      </c>
      <c r="D12" s="213">
        <f t="shared" si="0"/>
        <v>37.926000000000002</v>
      </c>
      <c r="E12" s="31" t="s">
        <v>1375</v>
      </c>
      <c r="F12" s="30">
        <v>2</v>
      </c>
      <c r="G12" s="31" t="s">
        <v>184</v>
      </c>
      <c r="H12" s="31">
        <v>1</v>
      </c>
      <c r="I12" s="30">
        <v>2.2200000000000002</v>
      </c>
      <c r="J12" s="67">
        <f t="shared" si="1"/>
        <v>35.706000000000003</v>
      </c>
      <c r="K12" s="66">
        <v>1.2</v>
      </c>
      <c r="M12" s="234"/>
      <c r="N12" s="213">
        <v>1</v>
      </c>
      <c r="O12" s="213">
        <v>0.2</v>
      </c>
      <c r="P12" s="213">
        <v>1.8</v>
      </c>
      <c r="Q12" s="37">
        <f t="shared" si="2"/>
        <v>0.36000000000000004</v>
      </c>
    </row>
    <row r="13" spans="1:18">
      <c r="A13" s="216" t="s">
        <v>125</v>
      </c>
      <c r="B13" s="213">
        <v>6.81</v>
      </c>
      <c r="C13" s="213">
        <v>2.94</v>
      </c>
      <c r="D13" s="213">
        <f t="shared" si="0"/>
        <v>20.0214</v>
      </c>
      <c r="E13" s="31"/>
      <c r="F13" s="30"/>
      <c r="G13" s="31"/>
      <c r="H13" s="31"/>
      <c r="I13" s="30"/>
      <c r="J13" s="67">
        <f t="shared" si="1"/>
        <v>20.0214</v>
      </c>
      <c r="K13" s="66">
        <v>6.81</v>
      </c>
      <c r="M13" s="234"/>
      <c r="N13" s="213">
        <v>1</v>
      </c>
      <c r="O13" s="213">
        <v>1.17</v>
      </c>
      <c r="P13" s="213">
        <v>1.8</v>
      </c>
      <c r="Q13" s="37">
        <f t="shared" si="2"/>
        <v>2.1059999999999999</v>
      </c>
    </row>
    <row r="14" spans="1:18">
      <c r="A14" s="216" t="s">
        <v>131</v>
      </c>
      <c r="B14" s="213">
        <v>3.66</v>
      </c>
      <c r="C14" s="213">
        <v>2.94</v>
      </c>
      <c r="D14" s="213">
        <f t="shared" si="0"/>
        <v>10.760400000000001</v>
      </c>
      <c r="E14" s="31"/>
      <c r="F14" s="30"/>
      <c r="G14" s="31"/>
      <c r="H14" s="31"/>
      <c r="I14" s="30"/>
      <c r="J14" s="67">
        <f t="shared" si="1"/>
        <v>10.760400000000001</v>
      </c>
      <c r="K14" s="233" t="s">
        <v>0</v>
      </c>
      <c r="M14" s="234"/>
      <c r="N14" s="213">
        <v>1</v>
      </c>
      <c r="O14" s="213">
        <v>0.7</v>
      </c>
      <c r="P14" s="213">
        <v>1.8</v>
      </c>
      <c r="Q14" s="37">
        <f t="shared" si="2"/>
        <v>1.26</v>
      </c>
    </row>
    <row r="15" spans="1:18">
      <c r="A15" s="216" t="s">
        <v>136</v>
      </c>
      <c r="B15" s="213">
        <v>5.35</v>
      </c>
      <c r="C15" s="213">
        <v>2.94</v>
      </c>
      <c r="D15" s="213">
        <f t="shared" si="0"/>
        <v>15.728999999999999</v>
      </c>
      <c r="E15" s="31" t="s">
        <v>207</v>
      </c>
      <c r="F15" s="30">
        <v>1</v>
      </c>
      <c r="G15" s="31"/>
      <c r="H15" s="31"/>
      <c r="I15" s="30">
        <v>0.1</v>
      </c>
      <c r="J15" s="67">
        <f t="shared" si="1"/>
        <v>15.629</v>
      </c>
      <c r="K15" s="233" t="s">
        <v>0</v>
      </c>
      <c r="M15" s="234" t="s">
        <v>201</v>
      </c>
      <c r="N15" s="213">
        <v>1</v>
      </c>
      <c r="O15" s="213">
        <v>0.2</v>
      </c>
      <c r="P15" s="213">
        <v>1.8</v>
      </c>
      <c r="Q15" s="37">
        <f t="shared" si="2"/>
        <v>0.36000000000000004</v>
      </c>
    </row>
    <row r="16" spans="1:18">
      <c r="A16" s="216" t="s">
        <v>127</v>
      </c>
      <c r="B16" s="213">
        <v>3</v>
      </c>
      <c r="C16" s="213">
        <v>2.94</v>
      </c>
      <c r="D16" s="213">
        <f t="shared" si="0"/>
        <v>8.82</v>
      </c>
      <c r="E16" s="31" t="s">
        <v>179</v>
      </c>
      <c r="F16" s="30">
        <v>1</v>
      </c>
      <c r="G16" s="31"/>
      <c r="H16" s="31"/>
      <c r="I16" s="30">
        <v>0.1</v>
      </c>
      <c r="J16" s="67">
        <f t="shared" si="1"/>
        <v>8.7200000000000006</v>
      </c>
      <c r="K16" s="233" t="s">
        <v>0</v>
      </c>
      <c r="M16" s="234"/>
      <c r="N16" s="213">
        <v>2</v>
      </c>
      <c r="O16" s="213">
        <v>0.23</v>
      </c>
      <c r="P16" s="213">
        <v>1.8</v>
      </c>
      <c r="Q16" s="37">
        <f t="shared" si="2"/>
        <v>0.82800000000000007</v>
      </c>
    </row>
    <row r="17" spans="1:17">
      <c r="A17" s="216" t="s">
        <v>126</v>
      </c>
      <c r="B17" s="213">
        <v>1</v>
      </c>
      <c r="C17" s="213">
        <v>2.94</v>
      </c>
      <c r="D17" s="213">
        <f t="shared" si="0"/>
        <v>2.94</v>
      </c>
      <c r="E17" s="31" t="s">
        <v>207</v>
      </c>
      <c r="F17" s="30">
        <v>1</v>
      </c>
      <c r="G17" s="31"/>
      <c r="H17" s="31"/>
      <c r="I17" s="30">
        <v>0.1</v>
      </c>
      <c r="J17" s="67">
        <f t="shared" si="1"/>
        <v>2.84</v>
      </c>
      <c r="K17" s="233" t="s">
        <v>0</v>
      </c>
      <c r="M17" s="234"/>
      <c r="N17" s="213">
        <v>2</v>
      </c>
      <c r="O17" s="213">
        <v>1.17</v>
      </c>
      <c r="P17" s="213">
        <v>1.8</v>
      </c>
      <c r="Q17" s="37">
        <f t="shared" si="2"/>
        <v>4.2119999999999997</v>
      </c>
    </row>
    <row r="18" spans="1:17">
      <c r="A18" s="215" t="s">
        <v>187</v>
      </c>
      <c r="B18" s="213">
        <v>7.65</v>
      </c>
      <c r="C18" s="213">
        <v>2.94</v>
      </c>
      <c r="D18" s="213">
        <f t="shared" si="0"/>
        <v>22.491</v>
      </c>
      <c r="E18" s="31" t="s">
        <v>179</v>
      </c>
      <c r="F18" s="30">
        <v>1</v>
      </c>
      <c r="G18" s="31"/>
      <c r="H18" s="31"/>
      <c r="I18" s="30">
        <v>0.1</v>
      </c>
      <c r="J18" s="67">
        <f t="shared" si="1"/>
        <v>22.390999999999998</v>
      </c>
      <c r="K18" s="66">
        <v>6.65</v>
      </c>
      <c r="M18" s="234" t="s">
        <v>202</v>
      </c>
      <c r="N18" s="213">
        <v>12</v>
      </c>
      <c r="O18" s="213">
        <v>1.17</v>
      </c>
      <c r="P18" s="213">
        <v>1.8</v>
      </c>
      <c r="Q18" s="37">
        <f t="shared" si="2"/>
        <v>25.271999999999998</v>
      </c>
    </row>
    <row r="19" spans="1:17">
      <c r="A19" s="216" t="s">
        <v>128</v>
      </c>
      <c r="B19" s="213">
        <v>6.81</v>
      </c>
      <c r="C19" s="213">
        <v>2.94</v>
      </c>
      <c r="D19" s="213">
        <f t="shared" si="0"/>
        <v>20.0214</v>
      </c>
      <c r="E19" s="31"/>
      <c r="F19" s="30"/>
      <c r="G19" s="31"/>
      <c r="H19" s="31"/>
      <c r="I19" s="30"/>
      <c r="J19" s="67">
        <f t="shared" si="1"/>
        <v>20.0214</v>
      </c>
      <c r="K19" s="66">
        <v>5.81</v>
      </c>
      <c r="M19" s="234"/>
      <c r="N19" s="213">
        <v>4</v>
      </c>
      <c r="O19" s="213">
        <v>0.2</v>
      </c>
      <c r="P19" s="213">
        <v>1.8</v>
      </c>
      <c r="Q19" s="37">
        <f t="shared" si="2"/>
        <v>1.4400000000000002</v>
      </c>
    </row>
    <row r="20" spans="1:17">
      <c r="A20" s="216" t="s">
        <v>139</v>
      </c>
      <c r="B20" s="213">
        <v>2.8</v>
      </c>
      <c r="C20" s="213">
        <v>2.94</v>
      </c>
      <c r="D20" s="213">
        <f t="shared" si="0"/>
        <v>8.2319999999999993</v>
      </c>
      <c r="E20" s="31" t="s">
        <v>179</v>
      </c>
      <c r="F20" s="30">
        <v>1</v>
      </c>
      <c r="G20" s="31"/>
      <c r="H20" s="31"/>
      <c r="I20" s="30">
        <v>0.1</v>
      </c>
      <c r="J20" s="67">
        <f t="shared" si="1"/>
        <v>8.1319999999999997</v>
      </c>
      <c r="K20" s="66">
        <v>1.8</v>
      </c>
      <c r="M20" s="234"/>
      <c r="N20" s="213">
        <v>8</v>
      </c>
      <c r="O20" s="213">
        <v>0.23</v>
      </c>
      <c r="P20" s="213">
        <v>1.8</v>
      </c>
      <c r="Q20" s="37">
        <f t="shared" si="2"/>
        <v>3.3120000000000003</v>
      </c>
    </row>
    <row r="21" spans="1:17">
      <c r="A21" s="215" t="s">
        <v>170</v>
      </c>
      <c r="B21" s="213">
        <v>2.25</v>
      </c>
      <c r="C21" s="213">
        <v>2.94</v>
      </c>
      <c r="D21" s="213">
        <f t="shared" si="0"/>
        <v>6.6150000000000002</v>
      </c>
      <c r="E21" s="31" t="s">
        <v>180</v>
      </c>
      <c r="F21" s="30">
        <v>1</v>
      </c>
      <c r="G21" s="31"/>
      <c r="H21" s="31"/>
      <c r="I21" s="30">
        <v>4.7300000000000004</v>
      </c>
      <c r="J21" s="67">
        <f t="shared" si="1"/>
        <v>1.8849999999999998</v>
      </c>
      <c r="K21" s="233" t="s">
        <v>0</v>
      </c>
      <c r="M21" s="234"/>
      <c r="N21" s="213">
        <v>4</v>
      </c>
      <c r="O21" s="213">
        <v>0.43</v>
      </c>
      <c r="P21" s="213">
        <v>1.8</v>
      </c>
      <c r="Q21" s="37">
        <f t="shared" si="2"/>
        <v>3.0960000000000001</v>
      </c>
    </row>
    <row r="22" spans="1:17">
      <c r="A22" s="216" t="s">
        <v>140</v>
      </c>
      <c r="B22" s="213">
        <v>2.5</v>
      </c>
      <c r="C22" s="213">
        <v>2.94</v>
      </c>
      <c r="D22" s="213">
        <f t="shared" si="0"/>
        <v>7.35</v>
      </c>
      <c r="E22" s="31"/>
      <c r="F22" s="30"/>
      <c r="G22" s="31"/>
      <c r="H22" s="31"/>
      <c r="I22" s="30"/>
      <c r="J22" s="67">
        <f t="shared" si="1"/>
        <v>7.35</v>
      </c>
      <c r="K22" s="66">
        <v>2.5</v>
      </c>
      <c r="M22" s="234"/>
      <c r="N22" s="213">
        <v>4</v>
      </c>
      <c r="O22" s="213">
        <v>0.17</v>
      </c>
      <c r="P22" s="213">
        <v>1.8</v>
      </c>
      <c r="Q22" s="37">
        <f t="shared" si="2"/>
        <v>1.2240000000000002</v>
      </c>
    </row>
    <row r="23" spans="1:17">
      <c r="A23" s="216" t="s">
        <v>129</v>
      </c>
      <c r="B23" s="6">
        <v>12.9</v>
      </c>
      <c r="C23" s="213">
        <v>2.94</v>
      </c>
      <c r="D23" s="213">
        <f t="shared" si="0"/>
        <v>37.926000000000002</v>
      </c>
      <c r="E23" s="31" t="s">
        <v>1375</v>
      </c>
      <c r="F23" s="30">
        <v>2</v>
      </c>
      <c r="G23" s="31" t="s">
        <v>184</v>
      </c>
      <c r="H23" s="31">
        <v>1</v>
      </c>
      <c r="I23" s="30">
        <v>2.2200000000000002</v>
      </c>
      <c r="J23" s="67">
        <f t="shared" si="1"/>
        <v>35.706000000000003</v>
      </c>
      <c r="K23" s="233" t="s">
        <v>0</v>
      </c>
      <c r="M23" s="1050" t="s">
        <v>203</v>
      </c>
      <c r="N23" s="213">
        <v>12</v>
      </c>
      <c r="O23" s="213">
        <v>1.17</v>
      </c>
      <c r="P23" s="213">
        <v>1.8</v>
      </c>
      <c r="Q23" s="37">
        <f t="shared" si="2"/>
        <v>25.271999999999998</v>
      </c>
    </row>
    <row r="24" spans="1:17">
      <c r="A24" s="216" t="s">
        <v>130</v>
      </c>
      <c r="B24" s="213">
        <v>6.81</v>
      </c>
      <c r="C24" s="213">
        <v>2.94</v>
      </c>
      <c r="D24" s="213">
        <f t="shared" si="0"/>
        <v>20.0214</v>
      </c>
      <c r="E24" s="31"/>
      <c r="F24" s="30"/>
      <c r="G24" s="31"/>
      <c r="H24" s="31"/>
      <c r="I24" s="30"/>
      <c r="J24" s="67">
        <f t="shared" si="1"/>
        <v>20.0214</v>
      </c>
      <c r="K24" s="66">
        <v>6.81</v>
      </c>
      <c r="M24" s="1050"/>
      <c r="N24" s="213">
        <v>4</v>
      </c>
      <c r="O24" s="213">
        <v>0.2</v>
      </c>
      <c r="P24" s="213">
        <v>1.8</v>
      </c>
      <c r="Q24" s="37">
        <f t="shared" si="2"/>
        <v>1.4400000000000002</v>
      </c>
    </row>
    <row r="25" spans="1:17">
      <c r="A25" s="216" t="s">
        <v>132</v>
      </c>
      <c r="B25" s="213">
        <v>3.66</v>
      </c>
      <c r="C25" s="213">
        <v>2.94</v>
      </c>
      <c r="D25" s="213">
        <f t="shared" si="0"/>
        <v>10.760400000000001</v>
      </c>
      <c r="E25" s="31"/>
      <c r="F25" s="30"/>
      <c r="G25" s="31"/>
      <c r="H25" s="31"/>
      <c r="I25" s="30"/>
      <c r="J25" s="67">
        <f t="shared" si="1"/>
        <v>10.760400000000001</v>
      </c>
      <c r="K25" s="233" t="s">
        <v>0</v>
      </c>
      <c r="M25" s="1050"/>
      <c r="N25" s="213">
        <v>8</v>
      </c>
      <c r="O25" s="213">
        <v>0.23</v>
      </c>
      <c r="P25" s="213">
        <v>1.8</v>
      </c>
      <c r="Q25" s="37">
        <f t="shared" si="2"/>
        <v>3.3120000000000003</v>
      </c>
    </row>
    <row r="26" spans="1:17">
      <c r="A26" s="216" t="s">
        <v>133</v>
      </c>
      <c r="B26" s="213">
        <v>3</v>
      </c>
      <c r="C26" s="213">
        <v>2.94</v>
      </c>
      <c r="D26" s="213">
        <f t="shared" si="0"/>
        <v>8.82</v>
      </c>
      <c r="E26" s="31" t="s">
        <v>179</v>
      </c>
      <c r="F26" s="30">
        <v>1</v>
      </c>
      <c r="G26" s="31"/>
      <c r="H26" s="31"/>
      <c r="I26" s="30">
        <v>0.1</v>
      </c>
      <c r="J26" s="67">
        <f t="shared" si="1"/>
        <v>8.7200000000000006</v>
      </c>
      <c r="K26" s="233" t="s">
        <v>0</v>
      </c>
      <c r="M26" s="1050"/>
      <c r="N26" s="213">
        <v>4</v>
      </c>
      <c r="O26" s="213">
        <v>0.43</v>
      </c>
      <c r="P26" s="213">
        <v>1.8</v>
      </c>
      <c r="Q26" s="37">
        <f t="shared" si="2"/>
        <v>3.0960000000000001</v>
      </c>
    </row>
    <row r="27" spans="1:17">
      <c r="A27" s="216" t="s">
        <v>134</v>
      </c>
      <c r="B27" s="213">
        <v>1.2</v>
      </c>
      <c r="C27" s="213">
        <v>2.94</v>
      </c>
      <c r="D27" s="213">
        <f t="shared" si="0"/>
        <v>3.528</v>
      </c>
      <c r="E27" s="31" t="s">
        <v>207</v>
      </c>
      <c r="F27" s="30">
        <v>1</v>
      </c>
      <c r="G27" s="31"/>
      <c r="H27" s="31"/>
      <c r="I27" s="30">
        <v>0.1</v>
      </c>
      <c r="J27" s="67">
        <f t="shared" si="1"/>
        <v>3.4279999999999999</v>
      </c>
      <c r="K27" s="66"/>
      <c r="M27" s="1050"/>
      <c r="N27" s="213">
        <v>4</v>
      </c>
      <c r="O27" s="213">
        <v>0.17</v>
      </c>
      <c r="P27" s="213">
        <v>1.8</v>
      </c>
      <c r="Q27" s="37">
        <f t="shared" si="2"/>
        <v>1.2240000000000002</v>
      </c>
    </row>
    <row r="28" spans="1:17">
      <c r="A28" s="216" t="s">
        <v>135</v>
      </c>
      <c r="B28" s="213">
        <v>5.35</v>
      </c>
      <c r="C28" s="213">
        <v>2.94</v>
      </c>
      <c r="D28" s="213">
        <f t="shared" si="0"/>
        <v>15.728999999999999</v>
      </c>
      <c r="E28" s="31" t="s">
        <v>207</v>
      </c>
      <c r="F28" s="30">
        <v>1</v>
      </c>
      <c r="G28" s="31"/>
      <c r="H28" s="31"/>
      <c r="I28" s="30">
        <v>0.1</v>
      </c>
      <c r="J28" s="67">
        <f t="shared" si="1"/>
        <v>15.629</v>
      </c>
      <c r="K28" s="233" t="s">
        <v>0</v>
      </c>
      <c r="M28" s="7" t="s">
        <v>204</v>
      </c>
      <c r="N28" s="213">
        <v>1</v>
      </c>
      <c r="O28" s="213">
        <v>1.1000000000000001</v>
      </c>
      <c r="P28" s="213">
        <v>1.8</v>
      </c>
      <c r="Q28" s="37">
        <f t="shared" si="2"/>
        <v>1.9800000000000002</v>
      </c>
    </row>
    <row r="29" spans="1:17" ht="13.5" thickBot="1">
      <c r="A29" s="216" t="s">
        <v>137</v>
      </c>
      <c r="B29" s="213">
        <v>7.65</v>
      </c>
      <c r="C29" s="213">
        <v>2.94</v>
      </c>
      <c r="D29" s="213">
        <f t="shared" si="0"/>
        <v>22.491</v>
      </c>
      <c r="E29" s="31"/>
      <c r="F29" s="30"/>
      <c r="G29" s="31"/>
      <c r="H29" s="31"/>
      <c r="I29" s="30"/>
      <c r="J29" s="67">
        <f t="shared" si="1"/>
        <v>22.491</v>
      </c>
      <c r="K29" s="66">
        <v>7.65</v>
      </c>
      <c r="M29" s="9" t="s">
        <v>205</v>
      </c>
      <c r="N29" s="10">
        <v>1</v>
      </c>
      <c r="O29" s="10">
        <v>1.1000000000000001</v>
      </c>
      <c r="P29" s="10">
        <v>1.8</v>
      </c>
      <c r="Q29" s="54">
        <f t="shared" si="2"/>
        <v>1.9800000000000002</v>
      </c>
    </row>
    <row r="30" spans="1:17">
      <c r="A30" s="216" t="s">
        <v>138</v>
      </c>
      <c r="B30" s="213">
        <v>6.81</v>
      </c>
      <c r="C30" s="213">
        <v>2.94</v>
      </c>
      <c r="D30" s="213">
        <f t="shared" si="0"/>
        <v>20.0214</v>
      </c>
      <c r="E30" s="31" t="s">
        <v>179</v>
      </c>
      <c r="F30" s="30">
        <v>1</v>
      </c>
      <c r="G30" s="31"/>
      <c r="H30" s="31"/>
      <c r="I30" s="30">
        <v>0.1</v>
      </c>
      <c r="J30" s="67">
        <f t="shared" si="1"/>
        <v>19.921399999999998</v>
      </c>
      <c r="K30" s="66">
        <v>5.81</v>
      </c>
      <c r="N30" s="2"/>
      <c r="O30" s="2"/>
      <c r="P30" s="2"/>
      <c r="Q30" s="32">
        <f>SUM(Q11:Q29)</f>
        <v>81.954000000000008</v>
      </c>
    </row>
    <row r="31" spans="1:17" ht="13.5" thickBot="1">
      <c r="A31" s="216" t="s">
        <v>141</v>
      </c>
      <c r="B31" s="213">
        <v>2.8</v>
      </c>
      <c r="C31" s="213">
        <v>2.94</v>
      </c>
      <c r="D31" s="213">
        <f t="shared" si="0"/>
        <v>8.2319999999999993</v>
      </c>
      <c r="E31" s="31" t="s">
        <v>179</v>
      </c>
      <c r="F31" s="30">
        <v>1</v>
      </c>
      <c r="G31" s="31"/>
      <c r="H31" s="31"/>
      <c r="I31" s="30">
        <v>0.1</v>
      </c>
      <c r="J31" s="67">
        <f t="shared" si="1"/>
        <v>8.1319999999999997</v>
      </c>
      <c r="K31" s="66">
        <v>1.8</v>
      </c>
    </row>
    <row r="32" spans="1:17">
      <c r="A32" s="216" t="s">
        <v>142</v>
      </c>
      <c r="B32" s="213">
        <v>2.5</v>
      </c>
      <c r="C32" s="213">
        <v>2.94</v>
      </c>
      <c r="D32" s="213">
        <f t="shared" si="0"/>
        <v>7.35</v>
      </c>
      <c r="E32" s="31"/>
      <c r="F32" s="30"/>
      <c r="G32" s="31"/>
      <c r="H32" s="31"/>
      <c r="I32" s="30"/>
      <c r="J32" s="67">
        <f t="shared" si="1"/>
        <v>7.35</v>
      </c>
      <c r="K32" s="66">
        <v>2.5</v>
      </c>
      <c r="N32" s="1046" t="s">
        <v>190</v>
      </c>
      <c r="O32" s="1047"/>
      <c r="P32" s="1047"/>
      <c r="Q32" s="1048"/>
    </row>
    <row r="33" spans="1:17">
      <c r="A33" s="216" t="s">
        <v>144</v>
      </c>
      <c r="B33" s="213">
        <v>9.2100000000000009</v>
      </c>
      <c r="C33" s="213">
        <v>3</v>
      </c>
      <c r="D33" s="213">
        <f t="shared" si="0"/>
        <v>27.630000000000003</v>
      </c>
      <c r="E33" s="31"/>
      <c r="F33" s="30"/>
      <c r="G33" s="31"/>
      <c r="H33" s="31"/>
      <c r="I33" s="30"/>
      <c r="J33" s="67">
        <f t="shared" si="1"/>
        <v>27.630000000000003</v>
      </c>
      <c r="K33" s="66">
        <v>9.2100000000000009</v>
      </c>
      <c r="N33" s="35" t="s">
        <v>191</v>
      </c>
      <c r="O33" s="20" t="s">
        <v>262</v>
      </c>
      <c r="P33" s="20" t="s">
        <v>193</v>
      </c>
      <c r="Q33" s="36" t="s">
        <v>194</v>
      </c>
    </row>
    <row r="34" spans="1:17">
      <c r="A34" s="216" t="s">
        <v>122</v>
      </c>
      <c r="B34" s="213">
        <v>2.8</v>
      </c>
      <c r="C34" s="213">
        <v>3</v>
      </c>
      <c r="D34" s="213">
        <f t="shared" si="0"/>
        <v>8.3999999999999986</v>
      </c>
      <c r="E34" s="31"/>
      <c r="F34" s="30"/>
      <c r="G34" s="31"/>
      <c r="H34" s="31"/>
      <c r="I34" s="30"/>
      <c r="J34" s="67">
        <f t="shared" si="1"/>
        <v>8.3999999999999986</v>
      </c>
      <c r="K34" s="233" t="s">
        <v>0</v>
      </c>
      <c r="N34" s="7">
        <v>2</v>
      </c>
      <c r="O34" s="213">
        <v>2.81</v>
      </c>
      <c r="P34" s="213">
        <v>2</v>
      </c>
      <c r="Q34" s="37">
        <f t="shared" ref="Q34:Q43" si="3">N34*O34*P34</f>
        <v>11.24</v>
      </c>
    </row>
    <row r="35" spans="1:17">
      <c r="A35" s="216" t="s">
        <v>121</v>
      </c>
      <c r="B35" s="213">
        <v>48.53</v>
      </c>
      <c r="C35" s="213">
        <v>3</v>
      </c>
      <c r="D35" s="213">
        <f t="shared" si="0"/>
        <v>145.59</v>
      </c>
      <c r="E35" s="31"/>
      <c r="F35" s="30"/>
      <c r="G35" s="31"/>
      <c r="H35" s="31"/>
      <c r="I35" s="30"/>
      <c r="J35" s="67">
        <f t="shared" si="1"/>
        <v>145.59</v>
      </c>
      <c r="K35" s="233" t="s">
        <v>0</v>
      </c>
      <c r="N35" s="7">
        <v>4</v>
      </c>
      <c r="O35" s="213">
        <v>3.23</v>
      </c>
      <c r="P35" s="213">
        <v>1.6</v>
      </c>
      <c r="Q35" s="37">
        <f t="shared" si="3"/>
        <v>20.672000000000001</v>
      </c>
    </row>
    <row r="36" spans="1:17">
      <c r="A36" s="216" t="s">
        <v>119</v>
      </c>
      <c r="B36" s="213">
        <v>2.8</v>
      </c>
      <c r="C36" s="213">
        <v>3</v>
      </c>
      <c r="D36" s="213">
        <f t="shared" si="0"/>
        <v>8.3999999999999986</v>
      </c>
      <c r="E36" s="31"/>
      <c r="F36" s="30"/>
      <c r="G36" s="31"/>
      <c r="H36" s="31"/>
      <c r="I36" s="30"/>
      <c r="J36" s="67">
        <f t="shared" si="1"/>
        <v>8.3999999999999986</v>
      </c>
      <c r="K36" s="66"/>
      <c r="N36" s="7">
        <v>4</v>
      </c>
      <c r="O36" s="213">
        <v>3.23</v>
      </c>
      <c r="P36" s="213">
        <v>0.7</v>
      </c>
      <c r="Q36" s="37">
        <f t="shared" si="3"/>
        <v>9.0439999999999987</v>
      </c>
    </row>
    <row r="37" spans="1:17">
      <c r="A37" s="215" t="s">
        <v>171</v>
      </c>
      <c r="B37" s="213">
        <v>5.27</v>
      </c>
      <c r="C37" s="213">
        <v>2.94</v>
      </c>
      <c r="D37" s="213">
        <f t="shared" si="0"/>
        <v>15.493799999999998</v>
      </c>
      <c r="E37" s="31" t="s">
        <v>180</v>
      </c>
      <c r="F37" s="30">
        <v>2</v>
      </c>
      <c r="G37" s="31"/>
      <c r="H37" s="31"/>
      <c r="I37" s="30">
        <v>5.46</v>
      </c>
      <c r="J37" s="67">
        <f t="shared" si="1"/>
        <v>10.033799999999999</v>
      </c>
      <c r="K37" s="66">
        <v>3.27</v>
      </c>
      <c r="N37" s="7">
        <v>4</v>
      </c>
      <c r="O37" s="213">
        <v>4.38</v>
      </c>
      <c r="P37" s="213">
        <v>2.14</v>
      </c>
      <c r="Q37" s="37">
        <f t="shared" si="3"/>
        <v>37.492800000000003</v>
      </c>
    </row>
    <row r="38" spans="1:17">
      <c r="A38" s="216" t="s">
        <v>145</v>
      </c>
      <c r="B38" s="213">
        <v>11.38</v>
      </c>
      <c r="C38" s="213">
        <v>2.94</v>
      </c>
      <c r="D38" s="213">
        <f t="shared" si="0"/>
        <v>33.4572</v>
      </c>
      <c r="E38" s="31" t="s">
        <v>185</v>
      </c>
      <c r="F38" s="30">
        <v>2</v>
      </c>
      <c r="G38" s="31"/>
      <c r="H38" s="31"/>
      <c r="I38" s="30"/>
      <c r="J38" s="67">
        <f t="shared" si="1"/>
        <v>33.4572</v>
      </c>
      <c r="K38" s="233" t="s">
        <v>0</v>
      </c>
      <c r="N38" s="7">
        <v>2</v>
      </c>
      <c r="O38" s="213">
        <v>2.65</v>
      </c>
      <c r="P38" s="213">
        <v>2.14</v>
      </c>
      <c r="Q38" s="37">
        <f t="shared" si="3"/>
        <v>11.342000000000001</v>
      </c>
    </row>
    <row r="39" spans="1:17">
      <c r="A39" s="216" t="s">
        <v>146</v>
      </c>
      <c r="B39" s="213">
        <v>5.26</v>
      </c>
      <c r="C39" s="213">
        <v>2.94</v>
      </c>
      <c r="D39" s="213">
        <f t="shared" si="0"/>
        <v>15.464399999999999</v>
      </c>
      <c r="E39" s="31"/>
      <c r="F39" s="30"/>
      <c r="G39" s="31"/>
      <c r="H39" s="31"/>
      <c r="I39" s="30"/>
      <c r="J39" s="67">
        <f t="shared" si="1"/>
        <v>15.464399999999999</v>
      </c>
      <c r="K39" s="66">
        <v>5.26</v>
      </c>
      <c r="N39" s="7">
        <v>2</v>
      </c>
      <c r="O39" s="213">
        <v>3.88</v>
      </c>
      <c r="P39" s="213">
        <v>2.14</v>
      </c>
      <c r="Q39" s="37">
        <f t="shared" si="3"/>
        <v>16.606400000000001</v>
      </c>
    </row>
    <row r="40" spans="1:17">
      <c r="A40" s="216" t="s">
        <v>147</v>
      </c>
      <c r="B40" s="213">
        <v>3.6</v>
      </c>
      <c r="C40" s="213">
        <v>2.94</v>
      </c>
      <c r="D40" s="213">
        <f t="shared" si="0"/>
        <v>10.584</v>
      </c>
      <c r="E40" s="31"/>
      <c r="F40" s="30"/>
      <c r="G40" s="31"/>
      <c r="H40" s="31"/>
      <c r="I40" s="30"/>
      <c r="J40" s="67">
        <f t="shared" si="1"/>
        <v>10.584</v>
      </c>
      <c r="K40" s="233" t="s">
        <v>0</v>
      </c>
      <c r="M40" s="386" t="s">
        <v>2018</v>
      </c>
      <c r="N40" s="384">
        <v>1</v>
      </c>
      <c r="O40" s="235">
        <v>4.2</v>
      </c>
      <c r="P40" s="235">
        <v>0.5</v>
      </c>
      <c r="Q40" s="385">
        <f t="shared" si="3"/>
        <v>2.1</v>
      </c>
    </row>
    <row r="41" spans="1:17">
      <c r="A41" s="216" t="s">
        <v>148</v>
      </c>
      <c r="B41" s="213">
        <v>5.26</v>
      </c>
      <c r="C41" s="213">
        <v>2.94</v>
      </c>
      <c r="D41" s="213">
        <f t="shared" si="0"/>
        <v>15.464399999999999</v>
      </c>
      <c r="E41" s="31"/>
      <c r="F41" s="30"/>
      <c r="G41" s="31"/>
      <c r="H41" s="31"/>
      <c r="I41" s="30"/>
      <c r="J41" s="67">
        <f t="shared" si="1"/>
        <v>15.464399999999999</v>
      </c>
      <c r="K41" s="66">
        <v>5.26</v>
      </c>
      <c r="M41" s="386" t="s">
        <v>2019</v>
      </c>
      <c r="N41" s="384">
        <v>1</v>
      </c>
      <c r="O41" s="235">
        <v>3.48</v>
      </c>
      <c r="P41" s="235">
        <v>0.7</v>
      </c>
      <c r="Q41" s="385">
        <f t="shared" si="3"/>
        <v>2.4359999999999999</v>
      </c>
    </row>
    <row r="42" spans="1:17">
      <c r="A42" s="216" t="s">
        <v>149</v>
      </c>
      <c r="B42" s="213">
        <v>3.8</v>
      </c>
      <c r="C42" s="213">
        <v>2.94</v>
      </c>
      <c r="D42" s="213">
        <f t="shared" si="0"/>
        <v>11.171999999999999</v>
      </c>
      <c r="E42" s="31" t="s">
        <v>179</v>
      </c>
      <c r="F42" s="30">
        <v>1</v>
      </c>
      <c r="G42" s="31"/>
      <c r="H42" s="31"/>
      <c r="I42" s="30">
        <v>0.1</v>
      </c>
      <c r="J42" s="67">
        <f t="shared" si="1"/>
        <v>11.071999999999999</v>
      </c>
      <c r="K42" s="66">
        <v>2.8</v>
      </c>
      <c r="M42" s="386" t="s">
        <v>2020</v>
      </c>
      <c r="N42" s="384">
        <v>1</v>
      </c>
      <c r="O42" s="235">
        <v>3.33</v>
      </c>
      <c r="P42" s="235">
        <v>0.7</v>
      </c>
      <c r="Q42" s="385">
        <f t="shared" si="3"/>
        <v>2.331</v>
      </c>
    </row>
    <row r="43" spans="1:17">
      <c r="A43" s="216" t="s">
        <v>150</v>
      </c>
      <c r="B43" s="213">
        <v>4.55</v>
      </c>
      <c r="C43" s="213">
        <v>2.94</v>
      </c>
      <c r="D43" s="213">
        <f t="shared" si="0"/>
        <v>13.376999999999999</v>
      </c>
      <c r="E43" s="31" t="s">
        <v>179</v>
      </c>
      <c r="F43" s="30">
        <v>2</v>
      </c>
      <c r="G43" s="31"/>
      <c r="H43" s="31"/>
      <c r="I43" s="30">
        <v>4.2</v>
      </c>
      <c r="J43" s="67">
        <f t="shared" si="1"/>
        <v>9.1769999999999996</v>
      </c>
      <c r="K43" s="66">
        <v>2.5499999999999998</v>
      </c>
      <c r="M43" s="386" t="s">
        <v>2021</v>
      </c>
      <c r="N43" s="384">
        <v>1</v>
      </c>
      <c r="O43" s="235">
        <v>7</v>
      </c>
      <c r="P43" s="235">
        <v>2.02</v>
      </c>
      <c r="Q43" s="385">
        <f t="shared" si="3"/>
        <v>14.14</v>
      </c>
    </row>
    <row r="44" spans="1:17" ht="13.5" thickBot="1">
      <c r="A44" s="216" t="s">
        <v>151</v>
      </c>
      <c r="B44" s="213">
        <v>3.35</v>
      </c>
      <c r="C44" s="213">
        <v>2.94</v>
      </c>
      <c r="D44" s="213">
        <f t="shared" si="0"/>
        <v>9.8490000000000002</v>
      </c>
      <c r="E44" s="31" t="s">
        <v>207</v>
      </c>
      <c r="F44" s="30">
        <v>1</v>
      </c>
      <c r="G44" s="31"/>
      <c r="H44" s="31"/>
      <c r="I44" s="30">
        <v>2.52</v>
      </c>
      <c r="J44" s="67">
        <f t="shared" si="1"/>
        <v>7.3290000000000006</v>
      </c>
      <c r="K44" s="66">
        <v>2.35</v>
      </c>
      <c r="N44" s="9"/>
      <c r="O44" s="1049" t="s">
        <v>105</v>
      </c>
      <c r="P44" s="1049"/>
      <c r="Q44" s="38">
        <f>SUM(Q34:Q43)</f>
        <v>127.4042</v>
      </c>
    </row>
    <row r="45" spans="1:17">
      <c r="A45" s="216" t="s">
        <v>152</v>
      </c>
      <c r="B45" s="213">
        <v>5.53</v>
      </c>
      <c r="C45" s="213">
        <v>2.94</v>
      </c>
      <c r="D45" s="213">
        <f t="shared" si="0"/>
        <v>16.258200000000002</v>
      </c>
      <c r="E45" s="31" t="s">
        <v>179</v>
      </c>
      <c r="F45" s="30">
        <v>1</v>
      </c>
      <c r="G45" s="31"/>
      <c r="H45" s="31"/>
      <c r="I45" s="30">
        <v>0.1</v>
      </c>
      <c r="J45" s="67">
        <f t="shared" si="1"/>
        <v>16.158200000000001</v>
      </c>
      <c r="K45" s="66">
        <v>4.53</v>
      </c>
    </row>
    <row r="46" spans="1:17">
      <c r="A46" s="215" t="s">
        <v>188</v>
      </c>
      <c r="B46" s="213">
        <v>9.06</v>
      </c>
      <c r="C46" s="213">
        <v>2.94</v>
      </c>
      <c r="D46" s="213">
        <f t="shared" si="0"/>
        <v>26.636400000000002</v>
      </c>
      <c r="E46" s="31" t="s">
        <v>1377</v>
      </c>
      <c r="F46" s="30">
        <v>1</v>
      </c>
      <c r="G46" s="31" t="s">
        <v>183</v>
      </c>
      <c r="H46" s="31">
        <v>1</v>
      </c>
      <c r="I46" s="30">
        <v>8.8000000000000007</v>
      </c>
      <c r="J46" s="67">
        <f t="shared" si="1"/>
        <v>17.836400000000001</v>
      </c>
      <c r="K46" s="66">
        <v>9.06</v>
      </c>
    </row>
    <row r="47" spans="1:17">
      <c r="A47" s="216" t="s">
        <v>154</v>
      </c>
      <c r="B47" s="213">
        <v>10.23</v>
      </c>
      <c r="C47" s="213">
        <v>2.94</v>
      </c>
      <c r="D47" s="213">
        <f t="shared" si="0"/>
        <v>30.0762</v>
      </c>
      <c r="E47" s="31"/>
      <c r="F47" s="30"/>
      <c r="G47" s="31"/>
      <c r="H47" s="31"/>
      <c r="I47" s="30"/>
      <c r="J47" s="67">
        <f t="shared" si="1"/>
        <v>30.0762</v>
      </c>
      <c r="K47" s="66">
        <v>10.23</v>
      </c>
    </row>
    <row r="48" spans="1:17">
      <c r="A48" s="216" t="s">
        <v>153</v>
      </c>
      <c r="B48" s="213">
        <v>4.5999999999999996</v>
      </c>
      <c r="C48" s="213">
        <v>2.94</v>
      </c>
      <c r="D48" s="213">
        <f t="shared" si="0"/>
        <v>13.523999999999999</v>
      </c>
      <c r="E48" s="31"/>
      <c r="F48" s="30"/>
      <c r="G48" s="31" t="s">
        <v>208</v>
      </c>
      <c r="H48" s="31">
        <v>1</v>
      </c>
      <c r="I48" s="30">
        <v>1.19</v>
      </c>
      <c r="J48" s="67">
        <f t="shared" si="1"/>
        <v>12.334</v>
      </c>
      <c r="K48" s="66">
        <v>4.5999999999999996</v>
      </c>
    </row>
    <row r="49" spans="1:11">
      <c r="A49" s="216" t="s">
        <v>164</v>
      </c>
      <c r="B49" s="213">
        <v>1.65</v>
      </c>
      <c r="C49" s="213">
        <v>2.94</v>
      </c>
      <c r="D49" s="213">
        <f t="shared" si="0"/>
        <v>4.851</v>
      </c>
      <c r="E49" s="31"/>
      <c r="F49" s="30"/>
      <c r="G49" s="31"/>
      <c r="H49" s="31"/>
      <c r="I49" s="30"/>
      <c r="J49" s="67">
        <f t="shared" si="1"/>
        <v>4.851</v>
      </c>
      <c r="K49" s="66">
        <v>1.65</v>
      </c>
    </row>
    <row r="50" spans="1:11">
      <c r="A50" s="216" t="s">
        <v>165</v>
      </c>
      <c r="B50" s="213">
        <v>1.5</v>
      </c>
      <c r="C50" s="213">
        <v>2.94</v>
      </c>
      <c r="D50" s="213">
        <f t="shared" si="0"/>
        <v>4.41</v>
      </c>
      <c r="E50" s="31"/>
      <c r="F50" s="30"/>
      <c r="G50" s="31"/>
      <c r="H50" s="31"/>
      <c r="I50" s="30"/>
      <c r="J50" s="67">
        <f t="shared" si="1"/>
        <v>4.41</v>
      </c>
      <c r="K50" s="66">
        <v>1.5</v>
      </c>
    </row>
    <row r="51" spans="1:11">
      <c r="J51" s="237">
        <f>SUM(J3:J50)</f>
        <v>996.73919999999976</v>
      </c>
      <c r="K51" s="3">
        <f>SUM(K3:K50)</f>
        <v>158.13</v>
      </c>
    </row>
    <row r="52" spans="1:11" ht="13.5" thickBot="1"/>
    <row r="53" spans="1:11">
      <c r="A53" s="1051" t="s">
        <v>209</v>
      </c>
      <c r="B53" s="1053" t="s">
        <v>117</v>
      </c>
      <c r="C53" s="1053" t="s">
        <v>169</v>
      </c>
      <c r="D53" s="1053" t="s">
        <v>175</v>
      </c>
      <c r="E53" s="1055" t="s">
        <v>177</v>
      </c>
      <c r="F53" s="1056"/>
      <c r="G53" s="1056"/>
      <c r="H53" s="1056"/>
      <c r="I53" s="1056"/>
      <c r="J53" s="1056"/>
      <c r="K53" s="1042" t="s">
        <v>261</v>
      </c>
    </row>
    <row r="54" spans="1:11" ht="13.5" thickBot="1">
      <c r="A54" s="1052"/>
      <c r="B54" s="1054"/>
      <c r="C54" s="1054" t="s">
        <v>169</v>
      </c>
      <c r="D54" s="1054" t="s">
        <v>169</v>
      </c>
      <c r="E54" s="72" t="s">
        <v>206</v>
      </c>
      <c r="F54" s="72" t="s">
        <v>195</v>
      </c>
      <c r="G54" s="72" t="s">
        <v>206</v>
      </c>
      <c r="H54" s="72" t="s">
        <v>195</v>
      </c>
      <c r="I54" s="73" t="s">
        <v>194</v>
      </c>
      <c r="J54" s="74" t="s">
        <v>210</v>
      </c>
      <c r="K54" s="1043"/>
    </row>
    <row r="55" spans="1:11">
      <c r="A55" s="68" t="s">
        <v>159</v>
      </c>
      <c r="B55" s="12">
        <v>28.06</v>
      </c>
      <c r="C55" s="12">
        <v>3.62</v>
      </c>
      <c r="D55" s="12">
        <f t="shared" ref="D55:D67" si="4">B55*C55</f>
        <v>101.5772</v>
      </c>
      <c r="E55" s="41" t="s">
        <v>1378</v>
      </c>
      <c r="F55" s="42">
        <v>2</v>
      </c>
      <c r="G55" s="41" t="s">
        <v>1379</v>
      </c>
      <c r="H55" s="41">
        <v>2</v>
      </c>
      <c r="I55" s="42">
        <v>3.46</v>
      </c>
      <c r="J55" s="70">
        <f t="shared" ref="J55:J67" si="5">D55-I55</f>
        <v>98.117200000000011</v>
      </c>
      <c r="K55" s="75">
        <v>7.74</v>
      </c>
    </row>
    <row r="56" spans="1:11">
      <c r="A56" s="216" t="s">
        <v>1380</v>
      </c>
      <c r="B56" s="213">
        <v>9.06</v>
      </c>
      <c r="C56" s="213">
        <v>3.5</v>
      </c>
      <c r="D56" s="213">
        <f t="shared" si="4"/>
        <v>31.71</v>
      </c>
      <c r="E56" s="31" t="s">
        <v>1381</v>
      </c>
      <c r="F56" s="30">
        <v>1</v>
      </c>
      <c r="G56" s="31" t="s">
        <v>1382</v>
      </c>
      <c r="H56" s="31">
        <v>1</v>
      </c>
      <c r="I56" s="30">
        <v>6.5</v>
      </c>
      <c r="J56" s="67">
        <f t="shared" si="5"/>
        <v>25.21</v>
      </c>
      <c r="K56" s="55" t="s">
        <v>0</v>
      </c>
    </row>
    <row r="57" spans="1:11">
      <c r="A57" s="216" t="s">
        <v>158</v>
      </c>
      <c r="B57" s="213">
        <v>7.98</v>
      </c>
      <c r="C57" s="213">
        <v>3.5</v>
      </c>
      <c r="D57" s="213">
        <f t="shared" si="4"/>
        <v>27.93</v>
      </c>
      <c r="E57" s="31"/>
      <c r="F57" s="30"/>
      <c r="G57" s="31"/>
      <c r="H57" s="31"/>
      <c r="I57" s="30"/>
      <c r="J57" s="67">
        <f t="shared" si="5"/>
        <v>27.93</v>
      </c>
      <c r="K57" s="27">
        <v>7.98</v>
      </c>
    </row>
    <row r="58" spans="1:11">
      <c r="A58" s="216" t="s">
        <v>161</v>
      </c>
      <c r="B58" s="213">
        <v>5.26</v>
      </c>
      <c r="C58" s="213">
        <v>1.2</v>
      </c>
      <c r="D58" s="213">
        <f t="shared" si="4"/>
        <v>6.3119999999999994</v>
      </c>
      <c r="E58" s="31" t="s">
        <v>179</v>
      </c>
      <c r="F58" s="30">
        <v>1</v>
      </c>
      <c r="G58" s="31"/>
      <c r="H58" s="31"/>
      <c r="I58" s="30">
        <v>0.1</v>
      </c>
      <c r="J58" s="67">
        <f t="shared" si="5"/>
        <v>6.2119999999999997</v>
      </c>
      <c r="K58" s="27">
        <v>4.26</v>
      </c>
    </row>
    <row r="59" spans="1:11">
      <c r="A59" s="216" t="s">
        <v>163</v>
      </c>
      <c r="B59" s="213">
        <v>5.26</v>
      </c>
      <c r="C59" s="213">
        <v>2.5</v>
      </c>
      <c r="D59" s="213">
        <f t="shared" si="4"/>
        <v>13.149999999999999</v>
      </c>
      <c r="E59" s="31"/>
      <c r="F59" s="30"/>
      <c r="G59" s="31"/>
      <c r="H59" s="31"/>
      <c r="I59" s="30"/>
      <c r="J59" s="67">
        <f t="shared" si="5"/>
        <v>13.149999999999999</v>
      </c>
      <c r="K59" s="55" t="s">
        <v>0</v>
      </c>
    </row>
    <row r="60" spans="1:11">
      <c r="A60" s="216" t="s">
        <v>154</v>
      </c>
      <c r="B60" s="213">
        <v>11.35</v>
      </c>
      <c r="C60" s="213">
        <v>3.5</v>
      </c>
      <c r="D60" s="213">
        <f t="shared" si="4"/>
        <v>39.725000000000001</v>
      </c>
      <c r="E60" s="31"/>
      <c r="F60" s="30"/>
      <c r="G60" s="31"/>
      <c r="H60" s="31"/>
      <c r="I60" s="30"/>
      <c r="J60" s="67">
        <f t="shared" si="5"/>
        <v>39.725000000000001</v>
      </c>
      <c r="K60" s="27">
        <v>11.35</v>
      </c>
    </row>
    <row r="61" spans="1:11">
      <c r="A61" s="216" t="s">
        <v>164</v>
      </c>
      <c r="B61" s="213">
        <v>1.65</v>
      </c>
      <c r="C61" s="213">
        <v>2.5</v>
      </c>
      <c r="D61" s="213">
        <f t="shared" si="4"/>
        <v>4.125</v>
      </c>
      <c r="E61" s="29" t="s">
        <v>207</v>
      </c>
      <c r="F61" s="30">
        <v>1</v>
      </c>
      <c r="G61" s="31"/>
      <c r="H61" s="31"/>
      <c r="I61" s="30">
        <v>0.31</v>
      </c>
      <c r="J61" s="67">
        <f t="shared" si="5"/>
        <v>3.8149999999999999</v>
      </c>
      <c r="K61" s="27">
        <v>0.65</v>
      </c>
    </row>
    <row r="62" spans="1:11">
      <c r="A62" s="216" t="s">
        <v>165</v>
      </c>
      <c r="B62" s="213">
        <v>1.5</v>
      </c>
      <c r="C62" s="213">
        <v>2.5</v>
      </c>
      <c r="D62" s="213">
        <f t="shared" si="4"/>
        <v>3.75</v>
      </c>
      <c r="E62" s="31"/>
      <c r="F62" s="30"/>
      <c r="G62" s="31"/>
      <c r="H62" s="31"/>
      <c r="I62" s="30"/>
      <c r="J62" s="67">
        <f t="shared" si="5"/>
        <v>3.75</v>
      </c>
      <c r="K62" s="27">
        <v>1.5</v>
      </c>
    </row>
    <row r="63" spans="1:11">
      <c r="A63" s="216" t="s">
        <v>166</v>
      </c>
      <c r="B63" s="213">
        <v>8.73</v>
      </c>
      <c r="C63" s="213">
        <v>3.5</v>
      </c>
      <c r="D63" s="213">
        <f t="shared" si="4"/>
        <v>30.555</v>
      </c>
      <c r="E63" s="31"/>
      <c r="F63" s="30"/>
      <c r="G63" s="31"/>
      <c r="H63" s="31"/>
      <c r="I63" s="30"/>
      <c r="J63" s="67">
        <f t="shared" si="5"/>
        <v>30.555</v>
      </c>
      <c r="K63" s="27">
        <v>8.73</v>
      </c>
    </row>
    <row r="64" spans="1:11">
      <c r="A64" s="216" t="s">
        <v>167</v>
      </c>
      <c r="B64" s="213">
        <v>8.73</v>
      </c>
      <c r="C64" s="213">
        <v>3.5</v>
      </c>
      <c r="D64" s="213">
        <f t="shared" si="4"/>
        <v>30.555</v>
      </c>
      <c r="E64" s="31" t="s">
        <v>1383</v>
      </c>
      <c r="F64" s="30">
        <v>1</v>
      </c>
      <c r="G64" s="31" t="s">
        <v>1384</v>
      </c>
      <c r="H64" s="31">
        <v>1</v>
      </c>
      <c r="I64" s="30">
        <v>4.9400000000000004</v>
      </c>
      <c r="J64" s="67">
        <f t="shared" si="5"/>
        <v>25.614999999999998</v>
      </c>
      <c r="K64" s="27">
        <v>8.73</v>
      </c>
    </row>
    <row r="65" spans="1:12">
      <c r="A65" s="215" t="s">
        <v>172</v>
      </c>
      <c r="B65" s="213">
        <v>9.2100000000000009</v>
      </c>
      <c r="C65" s="213">
        <v>2.08</v>
      </c>
      <c r="D65" s="213">
        <f t="shared" si="4"/>
        <v>19.156800000000004</v>
      </c>
      <c r="E65" s="31"/>
      <c r="F65" s="30"/>
      <c r="G65" s="31"/>
      <c r="H65" s="31"/>
      <c r="I65" s="30"/>
      <c r="J65" s="67">
        <f t="shared" si="5"/>
        <v>19.156800000000004</v>
      </c>
      <c r="K65" s="27">
        <v>1</v>
      </c>
    </row>
    <row r="66" spans="1:12">
      <c r="A66" s="215" t="s">
        <v>173</v>
      </c>
      <c r="B66" s="213">
        <v>28.06</v>
      </c>
      <c r="C66" s="213">
        <v>6.94</v>
      </c>
      <c r="D66" s="213">
        <f t="shared" si="4"/>
        <v>194.7364</v>
      </c>
      <c r="E66" s="31"/>
      <c r="F66" s="30"/>
      <c r="G66" s="31"/>
      <c r="H66" s="31"/>
      <c r="I66" s="30"/>
      <c r="J66" s="67">
        <f t="shared" si="5"/>
        <v>194.7364</v>
      </c>
      <c r="K66" s="27">
        <v>28.06</v>
      </c>
    </row>
    <row r="67" spans="1:12">
      <c r="A67" s="215" t="s">
        <v>174</v>
      </c>
      <c r="B67" s="213">
        <v>9.2100000000000009</v>
      </c>
      <c r="C67" s="213">
        <v>2.08</v>
      </c>
      <c r="D67" s="213">
        <f t="shared" si="4"/>
        <v>19.156800000000004</v>
      </c>
      <c r="E67" s="31"/>
      <c r="F67" s="30"/>
      <c r="G67" s="31"/>
      <c r="H67" s="31"/>
      <c r="I67" s="30"/>
      <c r="J67" s="67">
        <f t="shared" si="5"/>
        <v>19.156800000000004</v>
      </c>
      <c r="K67" s="27">
        <v>1</v>
      </c>
    </row>
    <row r="68" spans="1:12" ht="13.5" thickBot="1">
      <c r="J68" s="237">
        <f>SUM(J55:J67)</f>
        <v>507.12919999999997</v>
      </c>
      <c r="K68" s="32">
        <f>SUM(K55:K67)</f>
        <v>81</v>
      </c>
    </row>
    <row r="69" spans="1:12">
      <c r="A69" s="16" t="s">
        <v>177</v>
      </c>
      <c r="B69" s="19" t="s">
        <v>195</v>
      </c>
      <c r="C69" s="18" t="s">
        <v>162</v>
      </c>
      <c r="D69" s="19" t="s">
        <v>176</v>
      </c>
      <c r="E69" s="25" t="s">
        <v>186</v>
      </c>
      <c r="F69" s="20" t="s">
        <v>1418</v>
      </c>
      <c r="G69" s="20" t="s">
        <v>1419</v>
      </c>
      <c r="H69" s="521" t="s">
        <v>2232</v>
      </c>
      <c r="I69" s="521"/>
      <c r="J69" s="521"/>
      <c r="K69" s="521" t="s">
        <v>2229</v>
      </c>
      <c r="L69" s="521" t="s">
        <v>2230</v>
      </c>
    </row>
    <row r="70" spans="1:12">
      <c r="A70" s="8" t="s">
        <v>178</v>
      </c>
      <c r="B70" s="213">
        <v>1</v>
      </c>
      <c r="C70" s="213">
        <v>2.15</v>
      </c>
      <c r="D70" s="213">
        <v>2.2000000000000002</v>
      </c>
      <c r="E70" s="26">
        <f>C70*D70</f>
        <v>4.7300000000000004</v>
      </c>
      <c r="F70" s="213">
        <f>C70*D70*B70</f>
        <v>4.7300000000000004</v>
      </c>
      <c r="G70" s="214"/>
      <c r="H70" s="1039" t="s">
        <v>2151</v>
      </c>
      <c r="I70" s="1040"/>
      <c r="J70" s="1041"/>
      <c r="K70" s="526">
        <v>6</v>
      </c>
      <c r="L70" s="524">
        <v>1</v>
      </c>
    </row>
    <row r="71" spans="1:12">
      <c r="A71" s="8" t="s">
        <v>2148</v>
      </c>
      <c r="B71" s="213">
        <v>12</v>
      </c>
      <c r="C71" s="213">
        <v>1</v>
      </c>
      <c r="D71" s="213">
        <v>2.1</v>
      </c>
      <c r="E71" s="26">
        <f t="shared" ref="E71:E89" si="6">C71*D71</f>
        <v>2.1</v>
      </c>
      <c r="F71" s="213">
        <f t="shared" ref="F71:F89" si="7">C71*D71*B71</f>
        <v>25.200000000000003</v>
      </c>
      <c r="G71" s="214"/>
      <c r="H71" s="1039" t="s">
        <v>2150</v>
      </c>
      <c r="I71" s="1040"/>
      <c r="J71" s="1041"/>
      <c r="K71" s="527" t="s">
        <v>2231</v>
      </c>
      <c r="L71" s="525" t="s">
        <v>2231</v>
      </c>
    </row>
    <row r="72" spans="1:12">
      <c r="A72" s="8" t="s">
        <v>180</v>
      </c>
      <c r="B72" s="213">
        <v>3</v>
      </c>
      <c r="C72" s="213">
        <v>2.25</v>
      </c>
      <c r="D72" s="213">
        <v>2.1</v>
      </c>
      <c r="E72" s="26">
        <f t="shared" si="6"/>
        <v>4.7250000000000005</v>
      </c>
      <c r="F72" s="213">
        <f t="shared" si="7"/>
        <v>14.175000000000001</v>
      </c>
      <c r="G72" s="214"/>
      <c r="H72" s="1039" t="s">
        <v>2151</v>
      </c>
      <c r="I72" s="1040"/>
      <c r="J72" s="1041"/>
      <c r="K72" s="526">
        <v>18</v>
      </c>
      <c r="L72" s="524">
        <v>3</v>
      </c>
    </row>
    <row r="73" spans="1:12">
      <c r="A73" s="8" t="s">
        <v>181</v>
      </c>
      <c r="B73" s="213">
        <v>2</v>
      </c>
      <c r="C73" s="213">
        <v>0.8</v>
      </c>
      <c r="D73" s="213">
        <v>1.1000000000000001</v>
      </c>
      <c r="E73" s="26">
        <f t="shared" si="6"/>
        <v>0.88000000000000012</v>
      </c>
      <c r="F73" s="213">
        <f t="shared" si="7"/>
        <v>1.7600000000000002</v>
      </c>
      <c r="G73" s="214"/>
      <c r="H73" s="1039" t="s">
        <v>2151</v>
      </c>
      <c r="I73" s="1040"/>
      <c r="J73" s="1041"/>
      <c r="K73" s="526">
        <v>4</v>
      </c>
      <c r="L73" s="524">
        <v>2</v>
      </c>
    </row>
    <row r="74" spans="1:12">
      <c r="A74" s="215" t="s">
        <v>2149</v>
      </c>
      <c r="B74" s="213">
        <v>31</v>
      </c>
      <c r="C74" s="213">
        <v>0.6</v>
      </c>
      <c r="D74" s="213">
        <v>1.5</v>
      </c>
      <c r="E74" s="26">
        <f>C74*D74</f>
        <v>0.89999999999999991</v>
      </c>
      <c r="F74" s="213">
        <f>C74*D74*B74</f>
        <v>27.9</v>
      </c>
      <c r="G74" s="214"/>
      <c r="H74" s="1039" t="s">
        <v>2150</v>
      </c>
      <c r="I74" s="1040"/>
      <c r="J74" s="1041"/>
      <c r="K74" s="527" t="s">
        <v>2231</v>
      </c>
      <c r="L74" s="525" t="s">
        <v>2231</v>
      </c>
    </row>
    <row r="75" spans="1:12">
      <c r="A75" s="493" t="s">
        <v>197</v>
      </c>
      <c r="B75" s="213">
        <v>3</v>
      </c>
      <c r="C75" s="213">
        <v>1</v>
      </c>
      <c r="D75" s="213">
        <v>2.1</v>
      </c>
      <c r="E75" s="26">
        <f>C75*D75</f>
        <v>2.1</v>
      </c>
      <c r="F75" s="213">
        <f>C75*D75*B75</f>
        <v>6.3000000000000007</v>
      </c>
      <c r="G75" s="214"/>
      <c r="H75" s="1039" t="s">
        <v>2152</v>
      </c>
      <c r="I75" s="1040"/>
      <c r="J75" s="1041"/>
      <c r="K75" s="526">
        <v>9</v>
      </c>
      <c r="L75" s="524">
        <v>3</v>
      </c>
    </row>
    <row r="76" spans="1:12">
      <c r="A76" s="238" t="s">
        <v>182</v>
      </c>
      <c r="B76" s="213">
        <v>1</v>
      </c>
      <c r="C76" s="213">
        <v>4.5</v>
      </c>
      <c r="D76" s="213">
        <v>1.46</v>
      </c>
      <c r="E76" s="26">
        <f t="shared" si="6"/>
        <v>6.57</v>
      </c>
      <c r="F76" s="213">
        <f t="shared" si="7"/>
        <v>6.57</v>
      </c>
      <c r="G76" s="214">
        <f t="shared" ref="G76:G89" si="8">C76*B76</f>
        <v>4.5</v>
      </c>
      <c r="H76" s="1039" t="s">
        <v>2150</v>
      </c>
      <c r="I76" s="1040"/>
      <c r="J76" s="1041"/>
      <c r="K76" s="522"/>
      <c r="L76" s="523"/>
    </row>
    <row r="77" spans="1:12">
      <c r="A77" s="238" t="s">
        <v>183</v>
      </c>
      <c r="B77" s="213">
        <v>2</v>
      </c>
      <c r="C77" s="213">
        <v>3.71</v>
      </c>
      <c r="D77" s="213">
        <v>1.46</v>
      </c>
      <c r="E77" s="26">
        <f t="shared" si="6"/>
        <v>5.4165999999999999</v>
      </c>
      <c r="F77" s="213">
        <f t="shared" si="7"/>
        <v>10.8332</v>
      </c>
      <c r="G77" s="214">
        <f t="shared" si="8"/>
        <v>7.42</v>
      </c>
      <c r="H77" s="1039" t="s">
        <v>2150</v>
      </c>
      <c r="I77" s="1040"/>
      <c r="J77" s="1041"/>
      <c r="K77" s="522"/>
      <c r="L77" s="523"/>
    </row>
    <row r="78" spans="1:12">
      <c r="A78" s="238" t="s">
        <v>184</v>
      </c>
      <c r="B78" s="213">
        <v>2</v>
      </c>
      <c r="C78" s="213">
        <v>1.46</v>
      </c>
      <c r="D78" s="213">
        <v>0.76</v>
      </c>
      <c r="E78" s="26">
        <f t="shared" si="6"/>
        <v>1.1095999999999999</v>
      </c>
      <c r="F78" s="213">
        <f t="shared" si="7"/>
        <v>2.2191999999999998</v>
      </c>
      <c r="G78" s="214">
        <f t="shared" si="8"/>
        <v>2.92</v>
      </c>
      <c r="H78" s="1039" t="s">
        <v>2150</v>
      </c>
      <c r="I78" s="1040"/>
      <c r="J78" s="1041"/>
      <c r="K78" s="522"/>
      <c r="L78" s="523"/>
    </row>
    <row r="79" spans="1:12">
      <c r="A79" s="238" t="s">
        <v>185</v>
      </c>
      <c r="B79" s="213">
        <v>2</v>
      </c>
      <c r="C79" s="213">
        <v>2.2000000000000002</v>
      </c>
      <c r="D79" s="213">
        <v>0.76</v>
      </c>
      <c r="E79" s="26">
        <f t="shared" si="6"/>
        <v>1.6720000000000002</v>
      </c>
      <c r="F79" s="213">
        <f t="shared" si="7"/>
        <v>3.3440000000000003</v>
      </c>
      <c r="G79" s="214">
        <f t="shared" si="8"/>
        <v>4.4000000000000004</v>
      </c>
      <c r="H79" s="1039" t="s">
        <v>2150</v>
      </c>
      <c r="I79" s="1040"/>
      <c r="J79" s="1041"/>
      <c r="K79" s="522"/>
      <c r="L79" s="523"/>
    </row>
    <row r="80" spans="1:12">
      <c r="A80" s="238" t="s">
        <v>1375</v>
      </c>
      <c r="B80" s="235">
        <v>4</v>
      </c>
      <c r="C80" s="235">
        <v>3.32</v>
      </c>
      <c r="D80" s="235">
        <v>1.34</v>
      </c>
      <c r="E80" s="26">
        <f t="shared" si="6"/>
        <v>4.4488000000000003</v>
      </c>
      <c r="F80" s="213">
        <f t="shared" si="7"/>
        <v>17.795200000000001</v>
      </c>
      <c r="G80" s="214">
        <f t="shared" si="8"/>
        <v>13.28</v>
      </c>
      <c r="H80" s="1039" t="s">
        <v>2150</v>
      </c>
      <c r="I80" s="1040"/>
      <c r="J80" s="1041"/>
      <c r="K80" s="522"/>
      <c r="L80" s="523"/>
    </row>
    <row r="81" spans="1:12">
      <c r="A81" s="238" t="s">
        <v>1376</v>
      </c>
      <c r="B81" s="235">
        <v>1</v>
      </c>
      <c r="C81" s="235">
        <v>4.0199999999999996</v>
      </c>
      <c r="D81" s="235">
        <v>1.4</v>
      </c>
      <c r="E81" s="26">
        <f t="shared" si="6"/>
        <v>5.6279999999999992</v>
      </c>
      <c r="F81" s="213">
        <f t="shared" si="7"/>
        <v>5.6279999999999992</v>
      </c>
      <c r="G81" s="214">
        <f t="shared" si="8"/>
        <v>4.0199999999999996</v>
      </c>
      <c r="H81" s="1039" t="s">
        <v>2150</v>
      </c>
      <c r="I81" s="1040"/>
      <c r="J81" s="1041"/>
      <c r="K81" s="522"/>
      <c r="L81" s="523"/>
    </row>
    <row r="82" spans="1:12">
      <c r="A82" s="238" t="s">
        <v>1377</v>
      </c>
      <c r="B82" s="235">
        <v>1</v>
      </c>
      <c r="C82" s="235">
        <v>5.05</v>
      </c>
      <c r="D82" s="235">
        <v>1.46</v>
      </c>
      <c r="E82" s="26">
        <f t="shared" si="6"/>
        <v>7.3729999999999993</v>
      </c>
      <c r="F82" s="213">
        <f t="shared" si="7"/>
        <v>7.3729999999999993</v>
      </c>
      <c r="G82" s="214">
        <f t="shared" si="8"/>
        <v>5.05</v>
      </c>
      <c r="H82" s="1039" t="s">
        <v>2150</v>
      </c>
      <c r="I82" s="1040"/>
      <c r="J82" s="1041"/>
      <c r="K82" s="522"/>
      <c r="L82" s="523"/>
    </row>
    <row r="83" spans="1:12">
      <c r="A83" s="238" t="s">
        <v>1381</v>
      </c>
      <c r="B83" s="213">
        <v>1</v>
      </c>
      <c r="C83" s="213">
        <v>4.5</v>
      </c>
      <c r="D83" s="213">
        <v>1.02</v>
      </c>
      <c r="E83" s="26">
        <f t="shared" si="6"/>
        <v>4.59</v>
      </c>
      <c r="F83" s="213">
        <f t="shared" si="7"/>
        <v>4.59</v>
      </c>
      <c r="G83" s="214">
        <f t="shared" si="8"/>
        <v>4.5</v>
      </c>
      <c r="H83" s="1039" t="s">
        <v>2150</v>
      </c>
      <c r="I83" s="1040"/>
      <c r="J83" s="1041"/>
      <c r="K83" s="522"/>
      <c r="L83" s="523"/>
    </row>
    <row r="84" spans="1:12">
      <c r="A84" s="238" t="s">
        <v>1382</v>
      </c>
      <c r="B84" s="213">
        <v>1</v>
      </c>
      <c r="C84" s="213">
        <v>4.0199999999999996</v>
      </c>
      <c r="D84" s="213">
        <v>1.47</v>
      </c>
      <c r="E84" s="26">
        <f t="shared" si="6"/>
        <v>5.9093999999999989</v>
      </c>
      <c r="F84" s="213">
        <f t="shared" si="7"/>
        <v>5.9093999999999989</v>
      </c>
      <c r="G84" s="214">
        <f t="shared" si="8"/>
        <v>4.0199999999999996</v>
      </c>
      <c r="H84" s="1039" t="s">
        <v>2150</v>
      </c>
      <c r="I84" s="1040"/>
      <c r="J84" s="1041"/>
      <c r="K84" s="522"/>
      <c r="L84" s="523"/>
    </row>
    <row r="85" spans="1:12">
      <c r="A85" s="238" t="s">
        <v>1384</v>
      </c>
      <c r="B85" s="213">
        <v>1</v>
      </c>
      <c r="C85" s="213">
        <v>3.72</v>
      </c>
      <c r="D85" s="213">
        <v>1.02</v>
      </c>
      <c r="E85" s="26">
        <f t="shared" si="6"/>
        <v>3.7944000000000004</v>
      </c>
      <c r="F85" s="213">
        <f t="shared" si="7"/>
        <v>3.7944000000000004</v>
      </c>
      <c r="G85" s="214">
        <f t="shared" si="8"/>
        <v>3.72</v>
      </c>
      <c r="H85" s="1039" t="s">
        <v>2150</v>
      </c>
      <c r="I85" s="1040"/>
      <c r="J85" s="1041"/>
      <c r="K85" s="522"/>
      <c r="L85" s="523"/>
    </row>
    <row r="86" spans="1:12">
      <c r="A86" s="238" t="s">
        <v>1383</v>
      </c>
      <c r="B86" s="213">
        <v>1</v>
      </c>
      <c r="C86" s="213">
        <v>5.05</v>
      </c>
      <c r="D86" s="213">
        <v>1.02</v>
      </c>
      <c r="E86" s="26">
        <f t="shared" si="6"/>
        <v>5.1509999999999998</v>
      </c>
      <c r="F86" s="213">
        <f t="shared" si="7"/>
        <v>5.1509999999999998</v>
      </c>
      <c r="G86" s="214">
        <f t="shared" si="8"/>
        <v>5.05</v>
      </c>
      <c r="H86" s="1039" t="s">
        <v>2150</v>
      </c>
      <c r="I86" s="1040"/>
      <c r="J86" s="1041"/>
      <c r="K86" s="522"/>
      <c r="L86" s="523"/>
    </row>
    <row r="87" spans="1:12">
      <c r="A87" s="238" t="s">
        <v>1379</v>
      </c>
      <c r="B87" s="213">
        <v>2</v>
      </c>
      <c r="C87" s="213">
        <v>2.44</v>
      </c>
      <c r="D87" s="213">
        <v>1.1000000000000001</v>
      </c>
      <c r="E87" s="26">
        <f t="shared" si="6"/>
        <v>2.6840000000000002</v>
      </c>
      <c r="F87" s="213">
        <f t="shared" si="7"/>
        <v>5.3680000000000003</v>
      </c>
      <c r="G87" s="214">
        <f t="shared" si="8"/>
        <v>4.88</v>
      </c>
      <c r="H87" s="1039" t="s">
        <v>2150</v>
      </c>
      <c r="I87" s="1040"/>
      <c r="J87" s="1041"/>
      <c r="K87" s="522"/>
      <c r="L87" s="523"/>
    </row>
    <row r="88" spans="1:12">
      <c r="A88" s="238" t="s">
        <v>1385</v>
      </c>
      <c r="B88" s="213">
        <v>1</v>
      </c>
      <c r="C88" s="213">
        <v>2</v>
      </c>
      <c r="D88" s="213">
        <v>0.82</v>
      </c>
      <c r="E88" s="26">
        <f t="shared" si="6"/>
        <v>1.64</v>
      </c>
      <c r="F88" s="213">
        <f t="shared" si="7"/>
        <v>1.64</v>
      </c>
      <c r="G88" s="214">
        <f t="shared" si="8"/>
        <v>2</v>
      </c>
      <c r="H88" s="1039" t="s">
        <v>2150</v>
      </c>
      <c r="I88" s="1040"/>
      <c r="J88" s="1041"/>
      <c r="K88" s="522"/>
      <c r="L88" s="523"/>
    </row>
    <row r="89" spans="1:12">
      <c r="A89" s="238" t="s">
        <v>1378</v>
      </c>
      <c r="B89" s="213">
        <v>2</v>
      </c>
      <c r="C89" s="213">
        <v>3.72</v>
      </c>
      <c r="D89" s="213">
        <v>0.82</v>
      </c>
      <c r="E89" s="26">
        <f t="shared" si="6"/>
        <v>3.0503999999999998</v>
      </c>
      <c r="F89" s="213">
        <f t="shared" si="7"/>
        <v>6.1007999999999996</v>
      </c>
      <c r="G89" s="214">
        <f t="shared" si="8"/>
        <v>7.44</v>
      </c>
      <c r="H89" s="1039" t="s">
        <v>2150</v>
      </c>
      <c r="I89" s="1040"/>
      <c r="J89" s="1041"/>
      <c r="K89" s="522"/>
      <c r="L89" s="523"/>
    </row>
    <row r="90" spans="1:12">
      <c r="G90" s="243">
        <f>SUM(G70:G89)</f>
        <v>73.199999999999989</v>
      </c>
      <c r="H90" s="1039"/>
      <c r="I90" s="1040"/>
      <c r="J90" s="1041"/>
      <c r="K90" s="526">
        <v>37</v>
      </c>
      <c r="L90" s="524">
        <v>9</v>
      </c>
    </row>
    <row r="91" spans="1:12" ht="13.5" thickBot="1"/>
    <row r="92" spans="1:12">
      <c r="B92" s="1059" t="s">
        <v>239</v>
      </c>
      <c r="C92" s="1055"/>
      <c r="D92" s="1055"/>
      <c r="E92" s="1060"/>
    </row>
    <row r="93" spans="1:12">
      <c r="B93" s="1061" t="s">
        <v>240</v>
      </c>
      <c r="C93" s="1062"/>
      <c r="D93" s="1062"/>
      <c r="E93" s="44" t="s">
        <v>210</v>
      </c>
    </row>
    <row r="94" spans="1:12">
      <c r="B94" s="1063" t="s">
        <v>493</v>
      </c>
      <c r="C94" s="1064"/>
      <c r="D94" s="1064"/>
      <c r="E94" s="37">
        <f>J68+J51</f>
        <v>1503.8683999999998</v>
      </c>
    </row>
    <row r="95" spans="1:12">
      <c r="B95" s="1063" t="s">
        <v>108</v>
      </c>
      <c r="C95" s="1064"/>
      <c r="D95" s="1064"/>
      <c r="E95" s="37">
        <f>E94*2</f>
        <v>3007.7367999999997</v>
      </c>
    </row>
    <row r="96" spans="1:12">
      <c r="B96" s="1063" t="s">
        <v>241</v>
      </c>
      <c r="C96" s="1064"/>
      <c r="D96" s="1064"/>
      <c r="E96" s="124">
        <v>2583.1999999999998</v>
      </c>
    </row>
    <row r="97" spans="2:5" ht="13.5" thickBot="1">
      <c r="B97" s="1057" t="s">
        <v>110</v>
      </c>
      <c r="C97" s="1058"/>
      <c r="D97" s="1058"/>
      <c r="E97" s="239">
        <f>E95-E96</f>
        <v>424.53679999999986</v>
      </c>
    </row>
  </sheetData>
  <mergeCells count="42">
    <mergeCell ref="B97:D97"/>
    <mergeCell ref="B92:E92"/>
    <mergeCell ref="B93:D93"/>
    <mergeCell ref="B94:D94"/>
    <mergeCell ref="B95:D95"/>
    <mergeCell ref="B96:D96"/>
    <mergeCell ref="A1:A2"/>
    <mergeCell ref="B1:B2"/>
    <mergeCell ref="C1:C2"/>
    <mergeCell ref="D1:D2"/>
    <mergeCell ref="E1:J1"/>
    <mergeCell ref="A53:A54"/>
    <mergeCell ref="B53:B54"/>
    <mergeCell ref="C53:C54"/>
    <mergeCell ref="D53:D54"/>
    <mergeCell ref="E53:J53"/>
    <mergeCell ref="K53:K54"/>
    <mergeCell ref="K1:K2"/>
    <mergeCell ref="N32:Q32"/>
    <mergeCell ref="O44:P44"/>
    <mergeCell ref="M23:M27"/>
    <mergeCell ref="H75:J75"/>
    <mergeCell ref="H76:J76"/>
    <mergeCell ref="H77:J77"/>
    <mergeCell ref="H78:J78"/>
    <mergeCell ref="H90:J90"/>
    <mergeCell ref="H70:J70"/>
    <mergeCell ref="H71:J71"/>
    <mergeCell ref="H72:J72"/>
    <mergeCell ref="H73:J73"/>
    <mergeCell ref="H89:J89"/>
    <mergeCell ref="H84:J84"/>
    <mergeCell ref="H85:J85"/>
    <mergeCell ref="H86:J86"/>
    <mergeCell ref="H87:J87"/>
    <mergeCell ref="H88:J88"/>
    <mergeCell ref="H79:J79"/>
    <mergeCell ref="H80:J80"/>
    <mergeCell ref="H81:J81"/>
    <mergeCell ref="H82:J82"/>
    <mergeCell ref="H83:J83"/>
    <mergeCell ref="H74:J74"/>
  </mergeCells>
  <pageMargins left="0.51181102362204722" right="0.51181102362204722" top="0.78740157480314965" bottom="0.78740157480314965" header="0.31496062992125984" footer="0.31496062992125984"/>
  <pageSetup scale="91" orientation="portrait" verticalDpi="0" r:id="rId1"/>
  <rowBreaks count="1" manualBreakCount="1">
    <brk id="5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/>
  </sheetViews>
  <sheetFormatPr defaultRowHeight="12.75"/>
  <cols>
    <col min="1" max="1" width="23.140625" bestFit="1" customWidth="1"/>
    <col min="4" max="4" width="11" style="65" customWidth="1"/>
    <col min="7" max="7" width="16.140625" bestFit="1" customWidth="1"/>
    <col min="8" max="8" width="9.28515625" bestFit="1" customWidth="1"/>
    <col min="9" max="9" width="12.85546875" bestFit="1" customWidth="1"/>
  </cols>
  <sheetData>
    <row r="1" spans="1:11" ht="13.5" thickBot="1">
      <c r="A1" s="4" t="s">
        <v>263</v>
      </c>
      <c r="B1" s="2"/>
      <c r="C1" s="2"/>
      <c r="D1" s="61"/>
      <c r="E1" s="3"/>
      <c r="G1" t="s">
        <v>156</v>
      </c>
      <c r="H1" s="2"/>
      <c r="I1" s="2"/>
      <c r="J1" s="2"/>
    </row>
    <row r="2" spans="1:11">
      <c r="A2" s="16" t="s">
        <v>211</v>
      </c>
      <c r="B2" s="83" t="s">
        <v>252</v>
      </c>
      <c r="C2" s="83" t="s">
        <v>251</v>
      </c>
      <c r="D2" s="84" t="s">
        <v>194</v>
      </c>
      <c r="E2" s="85" t="s">
        <v>206</v>
      </c>
      <c r="G2" s="16" t="s">
        <v>211</v>
      </c>
      <c r="H2" s="83" t="s">
        <v>252</v>
      </c>
      <c r="I2" s="83" t="s">
        <v>251</v>
      </c>
      <c r="J2" s="83" t="s">
        <v>194</v>
      </c>
      <c r="K2" s="85" t="s">
        <v>206</v>
      </c>
    </row>
    <row r="3" spans="1:11">
      <c r="A3" s="8" t="s">
        <v>213</v>
      </c>
      <c r="B3" s="5">
        <v>9.0299999999999994</v>
      </c>
      <c r="C3" s="5">
        <v>9.06</v>
      </c>
      <c r="D3" s="62">
        <f t="shared" ref="D3:D34" si="0">B3*C3</f>
        <v>81.811800000000005</v>
      </c>
      <c r="E3" s="56" t="s">
        <v>253</v>
      </c>
      <c r="G3" s="8" t="s">
        <v>213</v>
      </c>
      <c r="H3" s="5">
        <v>4.53</v>
      </c>
      <c r="I3" s="5">
        <v>7.74</v>
      </c>
      <c r="J3" s="5">
        <f t="shared" ref="J3:J10" si="1">H3*I3</f>
        <v>35.062200000000004</v>
      </c>
      <c r="K3" s="56" t="s">
        <v>253</v>
      </c>
    </row>
    <row r="4" spans="1:11">
      <c r="A4" s="8" t="s">
        <v>223</v>
      </c>
      <c r="B4" s="5">
        <v>8.1999999999999993</v>
      </c>
      <c r="C4" s="5">
        <v>9.06</v>
      </c>
      <c r="D4" s="62">
        <f t="shared" si="0"/>
        <v>74.292000000000002</v>
      </c>
      <c r="E4" s="56" t="s">
        <v>253</v>
      </c>
      <c r="G4" s="8" t="s">
        <v>213</v>
      </c>
      <c r="H4" s="5">
        <v>4.4400000000000004</v>
      </c>
      <c r="I4" s="5">
        <v>7.74</v>
      </c>
      <c r="J4" s="5">
        <f t="shared" si="1"/>
        <v>34.365600000000001</v>
      </c>
      <c r="K4" s="56" t="s">
        <v>253</v>
      </c>
    </row>
    <row r="5" spans="1:11">
      <c r="A5" s="8" t="s">
        <v>223</v>
      </c>
      <c r="B5" s="5">
        <v>7</v>
      </c>
      <c r="C5" s="5">
        <v>2.95</v>
      </c>
      <c r="D5" s="62">
        <f t="shared" si="0"/>
        <v>20.650000000000002</v>
      </c>
      <c r="E5" s="56" t="s">
        <v>253</v>
      </c>
      <c r="G5" s="8" t="s">
        <v>213</v>
      </c>
      <c r="H5" s="5">
        <v>8.58</v>
      </c>
      <c r="I5" s="5">
        <v>9.06</v>
      </c>
      <c r="J5" s="5">
        <f t="shared" si="1"/>
        <v>77.734800000000007</v>
      </c>
      <c r="K5" s="58" t="s">
        <v>253</v>
      </c>
    </row>
    <row r="6" spans="1:11">
      <c r="A6" s="8" t="s">
        <v>223</v>
      </c>
      <c r="B6" s="5">
        <v>2.15</v>
      </c>
      <c r="C6" s="5">
        <v>1.8</v>
      </c>
      <c r="D6" s="62">
        <f t="shared" si="0"/>
        <v>3.87</v>
      </c>
      <c r="E6" s="56" t="s">
        <v>253</v>
      </c>
      <c r="G6" s="8" t="s">
        <v>214</v>
      </c>
      <c r="H6" s="5">
        <v>1.2</v>
      </c>
      <c r="I6" s="5">
        <v>5.26</v>
      </c>
      <c r="J6" s="5">
        <f t="shared" si="1"/>
        <v>6.3119999999999994</v>
      </c>
      <c r="K6" s="58" t="s">
        <v>253</v>
      </c>
    </row>
    <row r="7" spans="1:11">
      <c r="A7" s="8" t="s">
        <v>220</v>
      </c>
      <c r="B7" s="5">
        <v>4.2</v>
      </c>
      <c r="C7" s="5">
        <v>3.8</v>
      </c>
      <c r="D7" s="62">
        <f t="shared" si="0"/>
        <v>15.959999999999999</v>
      </c>
      <c r="E7" s="56" t="s">
        <v>253</v>
      </c>
      <c r="G7" s="8" t="s">
        <v>214</v>
      </c>
      <c r="H7" s="5">
        <v>1.56</v>
      </c>
      <c r="I7" s="5">
        <v>7.41</v>
      </c>
      <c r="J7" s="5">
        <f t="shared" si="1"/>
        <v>11.559600000000001</v>
      </c>
      <c r="K7" s="58" t="s">
        <v>253</v>
      </c>
    </row>
    <row r="8" spans="1:11">
      <c r="A8" s="8" t="s">
        <v>220</v>
      </c>
      <c r="B8" s="5">
        <v>1.6</v>
      </c>
      <c r="C8" s="5">
        <v>4.55</v>
      </c>
      <c r="D8" s="62">
        <f t="shared" si="0"/>
        <v>7.28</v>
      </c>
      <c r="E8" s="56" t="s">
        <v>253</v>
      </c>
      <c r="G8" s="8" t="s">
        <v>214</v>
      </c>
      <c r="H8" s="5">
        <v>3.8</v>
      </c>
      <c r="I8" s="5">
        <v>9.5500000000000007</v>
      </c>
      <c r="J8" s="5">
        <f t="shared" si="1"/>
        <v>36.29</v>
      </c>
      <c r="K8" s="58" t="s">
        <v>253</v>
      </c>
    </row>
    <row r="9" spans="1:11">
      <c r="A9" s="8" t="s">
        <v>224</v>
      </c>
      <c r="B9" s="5">
        <v>2.2000000000000002</v>
      </c>
      <c r="C9" s="5">
        <v>3.36</v>
      </c>
      <c r="D9" s="62">
        <f t="shared" si="0"/>
        <v>7.3920000000000003</v>
      </c>
      <c r="E9" s="56" t="s">
        <v>254</v>
      </c>
      <c r="G9" s="8" t="s">
        <v>198</v>
      </c>
      <c r="H9" s="5">
        <v>6.96</v>
      </c>
      <c r="I9" s="5">
        <v>25.36</v>
      </c>
      <c r="J9" s="5">
        <f t="shared" si="1"/>
        <v>176.50559999999999</v>
      </c>
      <c r="K9" s="58" t="s">
        <v>253</v>
      </c>
    </row>
    <row r="10" spans="1:11" ht="13.5" thickBot="1">
      <c r="A10" s="8" t="s">
        <v>225</v>
      </c>
      <c r="B10" s="5">
        <v>2.2000000000000002</v>
      </c>
      <c r="C10" s="5">
        <v>3.36</v>
      </c>
      <c r="D10" s="62">
        <f t="shared" si="0"/>
        <v>7.3920000000000003</v>
      </c>
      <c r="E10" s="56" t="s">
        <v>254</v>
      </c>
      <c r="G10" s="11" t="s">
        <v>198</v>
      </c>
      <c r="H10" s="10">
        <v>9.01</v>
      </c>
      <c r="I10" s="10">
        <v>1</v>
      </c>
      <c r="J10" s="10">
        <f t="shared" si="1"/>
        <v>9.01</v>
      </c>
      <c r="K10" s="59" t="s">
        <v>253</v>
      </c>
    </row>
    <row r="11" spans="1:11">
      <c r="A11" s="8" t="s">
        <v>215</v>
      </c>
      <c r="B11" s="5">
        <v>5.1100000000000003</v>
      </c>
      <c r="C11" s="5">
        <v>5.53</v>
      </c>
      <c r="D11" s="62">
        <f t="shared" si="0"/>
        <v>28.258300000000002</v>
      </c>
      <c r="E11" s="56" t="s">
        <v>253</v>
      </c>
      <c r="H11" s="2"/>
      <c r="I11" s="2"/>
      <c r="J11" s="39">
        <f>SUM(J3:J10)</f>
        <v>386.83979999999997</v>
      </c>
    </row>
    <row r="12" spans="1:11">
      <c r="A12" s="8" t="s">
        <v>216</v>
      </c>
      <c r="B12" s="5">
        <v>4.2300000000000004</v>
      </c>
      <c r="C12" s="5">
        <v>3.8</v>
      </c>
      <c r="D12" s="62">
        <f t="shared" si="0"/>
        <v>16.074000000000002</v>
      </c>
      <c r="E12" s="56" t="s">
        <v>253</v>
      </c>
    </row>
    <row r="13" spans="1:11">
      <c r="A13" s="8" t="s">
        <v>226</v>
      </c>
      <c r="B13" s="5">
        <v>3.6</v>
      </c>
      <c r="C13" s="5">
        <v>5.2</v>
      </c>
      <c r="D13" s="62">
        <f t="shared" si="0"/>
        <v>18.720000000000002</v>
      </c>
      <c r="E13" s="56" t="s">
        <v>254</v>
      </c>
    </row>
    <row r="14" spans="1:11">
      <c r="A14" s="8" t="s">
        <v>227</v>
      </c>
      <c r="B14" s="5">
        <v>3.66</v>
      </c>
      <c r="C14" s="5">
        <v>3.6</v>
      </c>
      <c r="D14" s="62">
        <f t="shared" si="0"/>
        <v>13.176</v>
      </c>
      <c r="E14" s="56" t="s">
        <v>254</v>
      </c>
    </row>
    <row r="15" spans="1:11">
      <c r="A15" s="8" t="s">
        <v>228</v>
      </c>
      <c r="B15" s="5">
        <v>2</v>
      </c>
      <c r="C15" s="5">
        <v>3</v>
      </c>
      <c r="D15" s="62">
        <f t="shared" si="0"/>
        <v>6</v>
      </c>
      <c r="E15" s="56" t="s">
        <v>254</v>
      </c>
      <c r="G15" s="1065" t="s">
        <v>258</v>
      </c>
      <c r="H15" s="1065"/>
    </row>
    <row r="16" spans="1:11">
      <c r="A16" s="8" t="s">
        <v>229</v>
      </c>
      <c r="B16" s="5">
        <v>3.66</v>
      </c>
      <c r="C16" s="5">
        <v>3.6</v>
      </c>
      <c r="D16" s="62">
        <f t="shared" si="0"/>
        <v>13.176</v>
      </c>
      <c r="E16" s="56" t="s">
        <v>254</v>
      </c>
      <c r="G16" s="43" t="s">
        <v>221</v>
      </c>
      <c r="H16" s="60">
        <f>D9+D10+D13+D14+D15+D16+D17+D20+D21+D22+D23+D24</f>
        <v>127.05800000000001</v>
      </c>
      <c r="I16" s="282" t="s">
        <v>2141</v>
      </c>
    </row>
    <row r="17" spans="1:9">
      <c r="A17" s="8" t="s">
        <v>230</v>
      </c>
      <c r="B17" s="5">
        <v>2.5</v>
      </c>
      <c r="C17" s="5">
        <v>2.65</v>
      </c>
      <c r="D17" s="62">
        <f t="shared" si="0"/>
        <v>6.625</v>
      </c>
      <c r="E17" s="56" t="s">
        <v>254</v>
      </c>
      <c r="G17" s="34" t="s">
        <v>219</v>
      </c>
      <c r="H17" s="33">
        <f>D3+D4+D5+D6+D7+D8+D11+D12+D18+D19+D25+D26+D27+D28+D29+D30+D31+J3+J4+J5+J6+J7+J8+J9+J10</f>
        <v>994.51529999999991</v>
      </c>
      <c r="I17" s="282" t="s">
        <v>2142</v>
      </c>
    </row>
    <row r="18" spans="1:9">
      <c r="A18" s="8" t="s">
        <v>231</v>
      </c>
      <c r="B18" s="5">
        <v>2.65</v>
      </c>
      <c r="C18" s="5">
        <v>4.46</v>
      </c>
      <c r="D18" s="62">
        <f t="shared" si="0"/>
        <v>11.818999999999999</v>
      </c>
      <c r="E18" s="56" t="s">
        <v>253</v>
      </c>
      <c r="G18" s="23" t="s">
        <v>259</v>
      </c>
      <c r="H18" s="213">
        <f>D32</f>
        <v>1056</v>
      </c>
      <c r="I18" s="282" t="s">
        <v>2143</v>
      </c>
    </row>
    <row r="19" spans="1:9">
      <c r="A19" s="8" t="s">
        <v>231</v>
      </c>
      <c r="B19" s="5">
        <v>10.06</v>
      </c>
      <c r="C19" s="5">
        <v>4.3099999999999996</v>
      </c>
      <c r="D19" s="62">
        <f t="shared" si="0"/>
        <v>43.358599999999996</v>
      </c>
      <c r="E19" s="56" t="s">
        <v>253</v>
      </c>
      <c r="G19" s="23" t="s">
        <v>260</v>
      </c>
      <c r="H19" s="5">
        <f>D33+D34</f>
        <v>318.52800000000002</v>
      </c>
      <c r="I19" s="282" t="s">
        <v>2144</v>
      </c>
    </row>
    <row r="20" spans="1:9">
      <c r="A20" s="8" t="s">
        <v>232</v>
      </c>
      <c r="B20" s="5">
        <v>2.5</v>
      </c>
      <c r="C20" s="5">
        <v>2.65</v>
      </c>
      <c r="D20" s="62">
        <f t="shared" si="0"/>
        <v>6.625</v>
      </c>
      <c r="E20" s="56" t="s">
        <v>254</v>
      </c>
    </row>
    <row r="21" spans="1:9" ht="13.5" thickBot="1">
      <c r="A21" s="8" t="s">
        <v>233</v>
      </c>
      <c r="B21" s="6">
        <v>2.2000000000000002</v>
      </c>
      <c r="C21" s="5">
        <v>3</v>
      </c>
      <c r="D21" s="62">
        <f t="shared" si="0"/>
        <v>6.6000000000000005</v>
      </c>
      <c r="E21" s="56" t="s">
        <v>254</v>
      </c>
    </row>
    <row r="22" spans="1:9">
      <c r="A22" s="8" t="s">
        <v>234</v>
      </c>
      <c r="B22" s="5">
        <v>3.66</v>
      </c>
      <c r="C22" s="5">
        <v>3.6</v>
      </c>
      <c r="D22" s="62">
        <f t="shared" si="0"/>
        <v>13.176</v>
      </c>
      <c r="E22" s="56" t="s">
        <v>254</v>
      </c>
      <c r="G22" s="77" t="s">
        <v>264</v>
      </c>
      <c r="H22" s="78"/>
      <c r="I22" s="79" t="s">
        <v>210</v>
      </c>
    </row>
    <row r="23" spans="1:9">
      <c r="A23" s="8" t="s">
        <v>235</v>
      </c>
      <c r="B23" s="5">
        <v>3</v>
      </c>
      <c r="C23" s="5">
        <v>5</v>
      </c>
      <c r="D23" s="62">
        <f t="shared" si="0"/>
        <v>15</v>
      </c>
      <c r="E23" s="56" t="s">
        <v>254</v>
      </c>
      <c r="G23" s="80" t="s">
        <v>219</v>
      </c>
      <c r="H23" s="76"/>
      <c r="I23" s="37">
        <f>ALVENARIA!K51+ALVENARIA!K68</f>
        <v>239.13</v>
      </c>
    </row>
    <row r="24" spans="1:9">
      <c r="A24" s="8" t="s">
        <v>236</v>
      </c>
      <c r="B24" s="5">
        <v>3.6</v>
      </c>
      <c r="C24" s="5">
        <v>3.66</v>
      </c>
      <c r="D24" s="62">
        <f t="shared" si="0"/>
        <v>13.176</v>
      </c>
      <c r="E24" s="56" t="s">
        <v>254</v>
      </c>
      <c r="G24" s="80" t="s">
        <v>265</v>
      </c>
      <c r="H24" s="76"/>
      <c r="I24" s="37">
        <v>0</v>
      </c>
    </row>
    <row r="25" spans="1:9" ht="13.5" thickBot="1">
      <c r="A25" s="8" t="s">
        <v>218</v>
      </c>
      <c r="B25" s="5">
        <v>1.2</v>
      </c>
      <c r="C25" s="5">
        <v>6.96</v>
      </c>
      <c r="D25" s="62">
        <f t="shared" si="0"/>
        <v>8.3520000000000003</v>
      </c>
      <c r="E25" s="56" t="s">
        <v>253</v>
      </c>
      <c r="G25" s="81" t="s">
        <v>221</v>
      </c>
      <c r="H25" s="82"/>
      <c r="I25" s="54">
        <v>0</v>
      </c>
    </row>
    <row r="26" spans="1:9">
      <c r="A26" s="8" t="s">
        <v>218</v>
      </c>
      <c r="B26" s="5">
        <v>1.2</v>
      </c>
      <c r="C26" s="5">
        <v>6.96</v>
      </c>
      <c r="D26" s="62">
        <f t="shared" si="0"/>
        <v>8.3520000000000003</v>
      </c>
      <c r="E26" s="56" t="s">
        <v>253</v>
      </c>
    </row>
    <row r="27" spans="1:9">
      <c r="A27" s="8" t="s">
        <v>218</v>
      </c>
      <c r="B27" s="5">
        <v>2.1</v>
      </c>
      <c r="C27" s="5">
        <v>27.76</v>
      </c>
      <c r="D27" s="62">
        <f t="shared" si="0"/>
        <v>58.296000000000006</v>
      </c>
      <c r="E27" s="56" t="s">
        <v>253</v>
      </c>
    </row>
    <row r="28" spans="1:9">
      <c r="A28" s="8" t="s">
        <v>218</v>
      </c>
      <c r="B28" s="5">
        <v>1.88</v>
      </c>
      <c r="C28" s="5">
        <v>27.76</v>
      </c>
      <c r="D28" s="62">
        <f t="shared" si="0"/>
        <v>52.188800000000001</v>
      </c>
      <c r="E28" s="56" t="s">
        <v>253</v>
      </c>
    </row>
    <row r="29" spans="1:9">
      <c r="A29" s="8" t="s">
        <v>218</v>
      </c>
      <c r="B29" s="5">
        <v>1.88</v>
      </c>
      <c r="C29" s="5">
        <v>44</v>
      </c>
      <c r="D29" s="62">
        <f t="shared" si="0"/>
        <v>82.72</v>
      </c>
      <c r="E29" s="56" t="s">
        <v>253</v>
      </c>
    </row>
    <row r="30" spans="1:9">
      <c r="A30" s="8" t="s">
        <v>218</v>
      </c>
      <c r="B30" s="5">
        <v>1.88</v>
      </c>
      <c r="C30" s="5">
        <v>44</v>
      </c>
      <c r="D30" s="62">
        <f t="shared" si="0"/>
        <v>82.72</v>
      </c>
      <c r="E30" s="56" t="s">
        <v>253</v>
      </c>
    </row>
    <row r="31" spans="1:9">
      <c r="A31" s="8" t="s">
        <v>218</v>
      </c>
      <c r="B31" s="5">
        <v>0.9</v>
      </c>
      <c r="C31" s="5">
        <v>12.97</v>
      </c>
      <c r="D31" s="62">
        <f t="shared" si="0"/>
        <v>11.673</v>
      </c>
      <c r="E31" s="56" t="s">
        <v>253</v>
      </c>
    </row>
    <row r="32" spans="1:9">
      <c r="A32" s="8" t="s">
        <v>217</v>
      </c>
      <c r="B32" s="5">
        <v>24</v>
      </c>
      <c r="C32" s="5">
        <v>44</v>
      </c>
      <c r="D32" s="62">
        <f t="shared" si="0"/>
        <v>1056</v>
      </c>
      <c r="E32" s="56" t="s">
        <v>257</v>
      </c>
    </row>
    <row r="33" spans="1:5">
      <c r="A33" s="8" t="s">
        <v>212</v>
      </c>
      <c r="B33" s="5">
        <v>2.8</v>
      </c>
      <c r="C33" s="5">
        <v>56.88</v>
      </c>
      <c r="D33" s="62">
        <f t="shared" si="0"/>
        <v>159.26400000000001</v>
      </c>
      <c r="E33" s="56" t="s">
        <v>255</v>
      </c>
    </row>
    <row r="34" spans="1:5" ht="13.5" thickBot="1">
      <c r="A34" s="11" t="s">
        <v>212</v>
      </c>
      <c r="B34" s="10">
        <v>2.8</v>
      </c>
      <c r="C34" s="10">
        <v>56.88</v>
      </c>
      <c r="D34" s="63">
        <f t="shared" si="0"/>
        <v>159.26400000000001</v>
      </c>
      <c r="E34" s="57" t="s">
        <v>255</v>
      </c>
    </row>
    <row r="35" spans="1:5">
      <c r="B35" s="2"/>
      <c r="C35" s="2"/>
      <c r="D35" s="64">
        <f>SUM(D3:D34)</f>
        <v>2109.2615000000001</v>
      </c>
      <c r="E35" s="3"/>
    </row>
    <row r="36" spans="1:5">
      <c r="B36" s="2"/>
      <c r="C36" s="2"/>
      <c r="D36" s="64"/>
      <c r="E36" s="3"/>
    </row>
    <row r="37" spans="1:5">
      <c r="B37" s="2"/>
      <c r="C37" s="2"/>
      <c r="D37" s="64"/>
      <c r="E37" s="3"/>
    </row>
  </sheetData>
  <mergeCells count="1">
    <mergeCell ref="G15:H15"/>
  </mergeCells>
  <pageMargins left="0.51181102362204722" right="0.51181102362204722" top="0.78740157480314965" bottom="0.78740157480314965" header="0.31496062992125984" footer="0.31496062992125984"/>
  <pageSetup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/>
  </sheetViews>
  <sheetFormatPr defaultRowHeight="12.75"/>
  <cols>
    <col min="1" max="1" width="23.140625" bestFit="1" customWidth="1"/>
    <col min="4" max="4" width="9.140625" style="65"/>
    <col min="7" max="7" width="16.140625" bestFit="1" customWidth="1"/>
    <col min="8" max="8" width="9.28515625" bestFit="1" customWidth="1"/>
    <col min="9" max="9" width="12.85546875" bestFit="1" customWidth="1"/>
  </cols>
  <sheetData>
    <row r="1" spans="1:11" ht="13.5" thickBot="1">
      <c r="A1" s="4" t="s">
        <v>263</v>
      </c>
      <c r="B1" s="2"/>
      <c r="C1" s="2"/>
      <c r="D1" s="61"/>
      <c r="E1" s="3"/>
      <c r="G1" t="s">
        <v>156</v>
      </c>
      <c r="H1" s="2"/>
      <c r="I1" s="2"/>
      <c r="J1" s="2"/>
    </row>
    <row r="2" spans="1:11">
      <c r="A2" s="16" t="s">
        <v>211</v>
      </c>
      <c r="B2" s="83" t="s">
        <v>252</v>
      </c>
      <c r="C2" s="83" t="s">
        <v>251</v>
      </c>
      <c r="D2" s="84" t="s">
        <v>194</v>
      </c>
      <c r="E2" s="87" t="s">
        <v>206</v>
      </c>
      <c r="G2" s="16" t="s">
        <v>211</v>
      </c>
      <c r="H2" s="83" t="s">
        <v>252</v>
      </c>
      <c r="I2" s="83" t="s">
        <v>251</v>
      </c>
      <c r="J2" s="83" t="s">
        <v>194</v>
      </c>
      <c r="K2" s="87" t="s">
        <v>206</v>
      </c>
    </row>
    <row r="3" spans="1:11">
      <c r="A3" s="8" t="s">
        <v>213</v>
      </c>
      <c r="B3" s="5">
        <v>9.0299999999999994</v>
      </c>
      <c r="C3" s="5">
        <v>9.06</v>
      </c>
      <c r="D3" s="62">
        <f t="shared" ref="D3:D24" si="0">B3*C3</f>
        <v>81.811800000000005</v>
      </c>
      <c r="E3" s="56" t="s">
        <v>305</v>
      </c>
      <c r="G3" s="8" t="s">
        <v>213</v>
      </c>
      <c r="H3" s="5">
        <v>4.53</v>
      </c>
      <c r="I3" s="5">
        <v>7.74</v>
      </c>
      <c r="J3" s="5">
        <f t="shared" ref="J3:J8" si="1">H3*I3</f>
        <v>35.062200000000004</v>
      </c>
      <c r="K3" s="56" t="s">
        <v>304</v>
      </c>
    </row>
    <row r="4" spans="1:11">
      <c r="A4" s="8" t="s">
        <v>223</v>
      </c>
      <c r="B4" s="5">
        <v>8.1999999999999993</v>
      </c>
      <c r="C4" s="5">
        <v>4.0999999999999996</v>
      </c>
      <c r="D4" s="62">
        <f t="shared" si="0"/>
        <v>33.619999999999997</v>
      </c>
      <c r="E4" s="56" t="s">
        <v>305</v>
      </c>
      <c r="G4" s="8" t="s">
        <v>213</v>
      </c>
      <c r="H4" s="5">
        <v>4.4400000000000004</v>
      </c>
      <c r="I4" s="5">
        <v>7.74</v>
      </c>
      <c r="J4" s="5">
        <f t="shared" si="1"/>
        <v>34.365600000000001</v>
      </c>
      <c r="K4" s="56" t="s">
        <v>304</v>
      </c>
    </row>
    <row r="5" spans="1:11">
      <c r="A5" s="8" t="s">
        <v>223</v>
      </c>
      <c r="B5" s="5">
        <v>7</v>
      </c>
      <c r="C5" s="5">
        <v>2.95</v>
      </c>
      <c r="D5" s="62">
        <f t="shared" si="0"/>
        <v>20.650000000000002</v>
      </c>
      <c r="E5" s="56" t="s">
        <v>305</v>
      </c>
      <c r="G5" s="8" t="s">
        <v>213</v>
      </c>
      <c r="H5" s="5">
        <v>8.58</v>
      </c>
      <c r="I5" s="5">
        <v>9.06</v>
      </c>
      <c r="J5" s="5">
        <f t="shared" si="1"/>
        <v>77.734800000000007</v>
      </c>
      <c r="K5" s="58" t="s">
        <v>304</v>
      </c>
    </row>
    <row r="6" spans="1:11">
      <c r="A6" s="8" t="s">
        <v>223</v>
      </c>
      <c r="B6" s="5">
        <v>2.15</v>
      </c>
      <c r="C6" s="5">
        <v>1.8</v>
      </c>
      <c r="D6" s="62">
        <f t="shared" si="0"/>
        <v>3.87</v>
      </c>
      <c r="E6" s="56" t="s">
        <v>305</v>
      </c>
      <c r="G6" s="8" t="s">
        <v>214</v>
      </c>
      <c r="H6" s="5">
        <v>1.2</v>
      </c>
      <c r="I6" s="5">
        <v>5.26</v>
      </c>
      <c r="J6" s="5">
        <f t="shared" si="1"/>
        <v>6.3119999999999994</v>
      </c>
      <c r="K6" s="58" t="s">
        <v>305</v>
      </c>
    </row>
    <row r="7" spans="1:11">
      <c r="A7" s="8" t="s">
        <v>220</v>
      </c>
      <c r="B7" s="5">
        <v>4.2</v>
      </c>
      <c r="C7" s="5">
        <v>3.8</v>
      </c>
      <c r="D7" s="62">
        <f t="shared" si="0"/>
        <v>15.959999999999999</v>
      </c>
      <c r="E7" s="56" t="s">
        <v>305</v>
      </c>
      <c r="G7" s="8" t="s">
        <v>214</v>
      </c>
      <c r="H7" s="5">
        <v>1.56</v>
      </c>
      <c r="I7" s="5">
        <v>7.41</v>
      </c>
      <c r="J7" s="5">
        <f t="shared" si="1"/>
        <v>11.559600000000001</v>
      </c>
      <c r="K7" s="58" t="s">
        <v>305</v>
      </c>
    </row>
    <row r="8" spans="1:11">
      <c r="A8" s="8" t="s">
        <v>220</v>
      </c>
      <c r="B8" s="5">
        <v>1.6</v>
      </c>
      <c r="C8" s="5">
        <v>4.55</v>
      </c>
      <c r="D8" s="62">
        <f t="shared" si="0"/>
        <v>7.28</v>
      </c>
      <c r="E8" s="56" t="s">
        <v>305</v>
      </c>
      <c r="G8" s="8" t="s">
        <v>214</v>
      </c>
      <c r="H8" s="5">
        <v>3.8</v>
      </c>
      <c r="I8" s="5">
        <v>9.5500000000000007</v>
      </c>
      <c r="J8" s="5">
        <f t="shared" si="1"/>
        <v>36.29</v>
      </c>
      <c r="K8" s="58" t="s">
        <v>305</v>
      </c>
    </row>
    <row r="9" spans="1:11">
      <c r="A9" s="8" t="s">
        <v>224</v>
      </c>
      <c r="B9" s="5">
        <v>2.2000000000000002</v>
      </c>
      <c r="C9" s="5">
        <v>3.36</v>
      </c>
      <c r="D9" s="62">
        <f t="shared" si="0"/>
        <v>7.3920000000000003</v>
      </c>
      <c r="E9" s="56" t="s">
        <v>304</v>
      </c>
      <c r="H9" s="2"/>
      <c r="I9" s="2"/>
      <c r="J9" s="39">
        <f>SUM(J3:J8)</f>
        <v>201.32419999999999</v>
      </c>
    </row>
    <row r="10" spans="1:11">
      <c r="A10" s="8" t="s">
        <v>225</v>
      </c>
      <c r="B10" s="5">
        <v>2.2000000000000002</v>
      </c>
      <c r="C10" s="5">
        <v>3.36</v>
      </c>
      <c r="D10" s="62">
        <f t="shared" si="0"/>
        <v>7.3920000000000003</v>
      </c>
      <c r="E10" s="56" t="s">
        <v>304</v>
      </c>
    </row>
    <row r="11" spans="1:11">
      <c r="A11" s="8" t="s">
        <v>215</v>
      </c>
      <c r="B11" s="5">
        <v>5.1100000000000003</v>
      </c>
      <c r="C11" s="5">
        <v>5.53</v>
      </c>
      <c r="D11" s="62">
        <f t="shared" si="0"/>
        <v>28.258300000000002</v>
      </c>
      <c r="E11" s="56" t="s">
        <v>305</v>
      </c>
    </row>
    <row r="12" spans="1:11">
      <c r="A12" s="8" t="s">
        <v>216</v>
      </c>
      <c r="B12" s="5">
        <v>4.2300000000000004</v>
      </c>
      <c r="C12" s="5">
        <v>3.8</v>
      </c>
      <c r="D12" s="62">
        <f t="shared" si="0"/>
        <v>16.074000000000002</v>
      </c>
      <c r="E12" s="56" t="s">
        <v>305</v>
      </c>
    </row>
    <row r="13" spans="1:11">
      <c r="A13" s="8" t="s">
        <v>226</v>
      </c>
      <c r="B13" s="5">
        <v>3.6</v>
      </c>
      <c r="C13" s="5">
        <v>5.2</v>
      </c>
      <c r="D13" s="62">
        <f t="shared" si="0"/>
        <v>18.720000000000002</v>
      </c>
      <c r="E13" s="56" t="s">
        <v>304</v>
      </c>
      <c r="G13" s="1065" t="s">
        <v>302</v>
      </c>
      <c r="H13" s="1065"/>
    </row>
    <row r="14" spans="1:11">
      <c r="A14" s="8" t="s">
        <v>227</v>
      </c>
      <c r="B14" s="5">
        <v>3.66</v>
      </c>
      <c r="C14" s="5">
        <v>3.6</v>
      </c>
      <c r="D14" s="62">
        <f t="shared" si="0"/>
        <v>13.176</v>
      </c>
      <c r="E14" s="56" t="s">
        <v>304</v>
      </c>
      <c r="G14" s="86" t="s">
        <v>109</v>
      </c>
      <c r="H14" s="60">
        <f>D3+D4+D5+D6+D7+D8+D11+D12+D18+D19+J6+J7+J8</f>
        <v>316.86330000000004</v>
      </c>
      <c r="I14" s="488" t="s">
        <v>2136</v>
      </c>
    </row>
    <row r="15" spans="1:11">
      <c r="A15" s="8" t="s">
        <v>228</v>
      </c>
      <c r="B15" s="5">
        <v>2</v>
      </c>
      <c r="C15" s="5">
        <v>3</v>
      </c>
      <c r="D15" s="62">
        <f t="shared" si="0"/>
        <v>6</v>
      </c>
      <c r="E15" s="56" t="s">
        <v>304</v>
      </c>
      <c r="G15" s="34" t="s">
        <v>306</v>
      </c>
      <c r="H15" s="33">
        <f>D9+D10+D13+D14+D15+D16+D17+D20+D21+D22+D23+D24+J3+J4+J5</f>
        <v>274.22059999999999</v>
      </c>
      <c r="I15" s="488" t="s">
        <v>2137</v>
      </c>
    </row>
    <row r="16" spans="1:11">
      <c r="A16" s="8" t="s">
        <v>229</v>
      </c>
      <c r="B16" s="5">
        <v>3.66</v>
      </c>
      <c r="C16" s="5">
        <v>3.6</v>
      </c>
      <c r="D16" s="62">
        <f t="shared" si="0"/>
        <v>13.176</v>
      </c>
      <c r="E16" s="56" t="s">
        <v>304</v>
      </c>
      <c r="G16" s="23"/>
      <c r="H16" s="5"/>
    </row>
    <row r="17" spans="1:8">
      <c r="A17" s="8" t="s">
        <v>230</v>
      </c>
      <c r="B17" s="5">
        <v>2.5</v>
      </c>
      <c r="C17" s="5">
        <v>2.65</v>
      </c>
      <c r="D17" s="62">
        <f t="shared" si="0"/>
        <v>6.625</v>
      </c>
      <c r="E17" s="56" t="s">
        <v>304</v>
      </c>
      <c r="G17" s="23"/>
      <c r="H17" s="5"/>
    </row>
    <row r="18" spans="1:8">
      <c r="A18" s="8" t="s">
        <v>231</v>
      </c>
      <c r="B18" s="5">
        <v>2.65</v>
      </c>
      <c r="C18" s="5">
        <v>4.46</v>
      </c>
      <c r="D18" s="62">
        <f t="shared" si="0"/>
        <v>11.818999999999999</v>
      </c>
      <c r="E18" s="56" t="s">
        <v>305</v>
      </c>
    </row>
    <row r="19" spans="1:8">
      <c r="A19" s="8" t="s">
        <v>231</v>
      </c>
      <c r="B19" s="5">
        <v>10.06</v>
      </c>
      <c r="C19" s="5">
        <v>4.3099999999999996</v>
      </c>
      <c r="D19" s="62">
        <f t="shared" si="0"/>
        <v>43.358599999999996</v>
      </c>
      <c r="E19" s="56" t="s">
        <v>305</v>
      </c>
    </row>
    <row r="20" spans="1:8">
      <c r="A20" s="8" t="s">
        <v>232</v>
      </c>
      <c r="B20" s="5">
        <v>2.5</v>
      </c>
      <c r="C20" s="5">
        <v>2.65</v>
      </c>
      <c r="D20" s="62">
        <f t="shared" si="0"/>
        <v>6.625</v>
      </c>
      <c r="E20" s="56" t="s">
        <v>304</v>
      </c>
    </row>
    <row r="21" spans="1:8">
      <c r="A21" s="8" t="s">
        <v>233</v>
      </c>
      <c r="B21" s="6">
        <v>2.2000000000000002</v>
      </c>
      <c r="C21" s="5">
        <v>3</v>
      </c>
      <c r="D21" s="62">
        <f t="shared" si="0"/>
        <v>6.6000000000000005</v>
      </c>
      <c r="E21" s="56" t="s">
        <v>304</v>
      </c>
    </row>
    <row r="22" spans="1:8">
      <c r="A22" s="8" t="s">
        <v>234</v>
      </c>
      <c r="B22" s="5">
        <v>3.66</v>
      </c>
      <c r="C22" s="5">
        <v>3.6</v>
      </c>
      <c r="D22" s="62">
        <f t="shared" si="0"/>
        <v>13.176</v>
      </c>
      <c r="E22" s="56" t="s">
        <v>304</v>
      </c>
    </row>
    <row r="23" spans="1:8">
      <c r="A23" s="8" t="s">
        <v>235</v>
      </c>
      <c r="B23" s="5">
        <v>3</v>
      </c>
      <c r="C23" s="5">
        <v>5</v>
      </c>
      <c r="D23" s="62">
        <f t="shared" si="0"/>
        <v>15</v>
      </c>
      <c r="E23" s="56" t="s">
        <v>304</v>
      </c>
    </row>
    <row r="24" spans="1:8">
      <c r="A24" s="8" t="s">
        <v>236</v>
      </c>
      <c r="B24" s="5">
        <v>3.6</v>
      </c>
      <c r="C24" s="5">
        <v>3.66</v>
      </c>
      <c r="D24" s="62">
        <f t="shared" si="0"/>
        <v>13.176</v>
      </c>
      <c r="E24" s="56" t="s">
        <v>304</v>
      </c>
    </row>
    <row r="25" spans="1:8">
      <c r="B25" s="2"/>
      <c r="C25" s="2"/>
      <c r="D25" s="64">
        <f>SUM(D3:D24)</f>
        <v>389.75970000000007</v>
      </c>
      <c r="E25" s="3"/>
    </row>
    <row r="26" spans="1:8">
      <c r="B26" s="2"/>
      <c r="C26" s="2"/>
      <c r="D26" s="64"/>
      <c r="E26" s="3"/>
    </row>
    <row r="27" spans="1:8">
      <c r="B27" s="2"/>
      <c r="C27" s="2"/>
      <c r="D27" s="64"/>
      <c r="E27" s="3"/>
    </row>
  </sheetData>
  <mergeCells count="1">
    <mergeCell ref="G13:H13"/>
  </mergeCell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workbookViewId="0"/>
  </sheetViews>
  <sheetFormatPr defaultRowHeight="12.75"/>
  <cols>
    <col min="1" max="1" width="10.85546875" bestFit="1" customWidth="1"/>
    <col min="2" max="9" width="9.28515625" bestFit="1" customWidth="1"/>
  </cols>
  <sheetData>
    <row r="2" spans="1:10">
      <c r="A2" s="1001" t="s">
        <v>389</v>
      </c>
      <c r="B2" s="106" t="s">
        <v>333</v>
      </c>
      <c r="C2" s="106" t="s">
        <v>333</v>
      </c>
      <c r="D2" s="106" t="s">
        <v>332</v>
      </c>
      <c r="E2" s="106" t="s">
        <v>332</v>
      </c>
      <c r="F2" s="106" t="s">
        <v>332</v>
      </c>
      <c r="G2" s="106" t="s">
        <v>332</v>
      </c>
      <c r="H2" s="106" t="s">
        <v>332</v>
      </c>
      <c r="I2" s="106" t="s">
        <v>386</v>
      </c>
      <c r="J2" s="106" t="s">
        <v>425</v>
      </c>
    </row>
    <row r="3" spans="1:10">
      <c r="A3" s="1002"/>
      <c r="B3" s="224" t="s">
        <v>1336</v>
      </c>
      <c r="C3" s="224" t="s">
        <v>1337</v>
      </c>
      <c r="D3" s="224" t="s">
        <v>1338</v>
      </c>
      <c r="E3" s="224" t="s">
        <v>1339</v>
      </c>
      <c r="F3" s="224" t="s">
        <v>1340</v>
      </c>
      <c r="G3" s="224" t="s">
        <v>1341</v>
      </c>
      <c r="H3" s="224" t="s">
        <v>1342</v>
      </c>
      <c r="I3" s="224" t="s">
        <v>1343</v>
      </c>
      <c r="J3" s="224" t="s">
        <v>1344</v>
      </c>
    </row>
    <row r="4" spans="1:10">
      <c r="A4" s="222" t="s">
        <v>1330</v>
      </c>
      <c r="B4" s="219"/>
      <c r="C4" s="219">
        <v>3094.31</v>
      </c>
      <c r="D4" s="219">
        <v>3088.14</v>
      </c>
      <c r="E4" s="219">
        <v>23.8</v>
      </c>
      <c r="F4" s="219">
        <v>2091.86</v>
      </c>
      <c r="G4" s="219">
        <v>2947.08</v>
      </c>
      <c r="H4" s="219">
        <v>160.96</v>
      </c>
      <c r="I4" s="219"/>
      <c r="J4" s="219">
        <v>18.36</v>
      </c>
    </row>
    <row r="5" spans="1:10" s="88" customFormat="1">
      <c r="A5" s="216" t="s">
        <v>1236</v>
      </c>
      <c r="B5" s="223">
        <v>2526.8000000000002</v>
      </c>
      <c r="C5" s="220">
        <v>177.22</v>
      </c>
      <c r="D5" s="220">
        <v>489.64</v>
      </c>
      <c r="E5" s="220">
        <v>978.67</v>
      </c>
      <c r="F5" s="220">
        <v>656.14</v>
      </c>
      <c r="G5" s="220">
        <v>101.25</v>
      </c>
      <c r="H5" s="220">
        <v>13.2</v>
      </c>
      <c r="I5" s="220"/>
      <c r="J5" s="220"/>
    </row>
    <row r="6" spans="1:10" s="88" customFormat="1">
      <c r="A6" s="215" t="s">
        <v>1331</v>
      </c>
      <c r="B6" s="221">
        <v>1830.43</v>
      </c>
      <c r="C6" s="220">
        <v>705.09</v>
      </c>
      <c r="D6" s="220">
        <v>627.34</v>
      </c>
      <c r="E6" s="220">
        <v>181.42</v>
      </c>
      <c r="F6" s="220">
        <v>1362.21</v>
      </c>
      <c r="G6" s="220">
        <v>250.37</v>
      </c>
      <c r="H6" s="220">
        <v>138.19999999999999</v>
      </c>
      <c r="I6" s="220">
        <v>20</v>
      </c>
      <c r="J6" s="220"/>
    </row>
    <row r="7" spans="1:10" s="88" customFormat="1">
      <c r="A7" s="215" t="s">
        <v>1332</v>
      </c>
      <c r="B7" s="220">
        <v>1742.45</v>
      </c>
      <c r="C7" s="220"/>
      <c r="D7" s="220">
        <v>1.6</v>
      </c>
      <c r="E7" s="220">
        <v>64.25</v>
      </c>
      <c r="F7" s="220">
        <v>992.08</v>
      </c>
      <c r="G7" s="220"/>
      <c r="H7" s="220"/>
      <c r="I7" s="220"/>
      <c r="J7" s="220"/>
    </row>
    <row r="8" spans="1:10" s="88" customFormat="1">
      <c r="A8" s="215" t="s">
        <v>1333</v>
      </c>
      <c r="B8" s="220">
        <v>694.38</v>
      </c>
      <c r="C8" s="220">
        <v>382.06</v>
      </c>
      <c r="D8" s="220">
        <v>619.41999999999996</v>
      </c>
      <c r="E8" s="220">
        <v>34.29</v>
      </c>
      <c r="F8" s="220">
        <v>388.94</v>
      </c>
      <c r="G8" s="220">
        <v>155.75</v>
      </c>
      <c r="H8" s="220">
        <v>120.69</v>
      </c>
      <c r="I8" s="220"/>
      <c r="J8" s="220"/>
    </row>
    <row r="9" spans="1:10" s="88" customFormat="1">
      <c r="A9" s="215" t="s">
        <v>1334</v>
      </c>
      <c r="B9" s="220"/>
      <c r="C9" s="220"/>
      <c r="D9" s="220">
        <v>3395</v>
      </c>
      <c r="E9" s="220">
        <v>4097</v>
      </c>
      <c r="F9" s="220">
        <v>726</v>
      </c>
      <c r="G9" s="220">
        <v>682</v>
      </c>
      <c r="H9" s="220"/>
      <c r="I9" s="220"/>
      <c r="J9" s="220"/>
    </row>
    <row r="10" spans="1:10" s="88" customFormat="1">
      <c r="A10" s="215" t="s">
        <v>1237</v>
      </c>
      <c r="B10" s="220"/>
      <c r="C10" s="220"/>
      <c r="D10" s="220">
        <v>3304</v>
      </c>
      <c r="E10" s="220">
        <v>3008</v>
      </c>
      <c r="F10" s="220">
        <v>36</v>
      </c>
      <c r="G10" s="220"/>
      <c r="H10" s="220"/>
      <c r="I10" s="220"/>
      <c r="J10" s="220"/>
    </row>
    <row r="11" spans="1:10" s="88" customFormat="1">
      <c r="A11" s="215" t="s">
        <v>1334</v>
      </c>
      <c r="B11" s="220"/>
      <c r="C11" s="220"/>
      <c r="D11" s="220">
        <v>1648</v>
      </c>
      <c r="E11" s="220">
        <v>1494</v>
      </c>
      <c r="F11" s="220">
        <v>1104</v>
      </c>
      <c r="G11" s="220">
        <v>641</v>
      </c>
      <c r="H11" s="220"/>
      <c r="I11" s="220"/>
      <c r="J11" s="220"/>
    </row>
    <row r="12" spans="1:10" s="88" customFormat="1">
      <c r="A12" s="215" t="s">
        <v>1335</v>
      </c>
      <c r="B12" s="220"/>
      <c r="C12" s="220"/>
      <c r="D12" s="220">
        <v>405.53</v>
      </c>
      <c r="E12" s="220"/>
      <c r="F12" s="220">
        <v>466.07</v>
      </c>
      <c r="G12" s="220"/>
      <c r="H12" s="220"/>
      <c r="I12" s="220"/>
      <c r="J12" s="220"/>
    </row>
    <row r="13" spans="1:10" s="88" customFormat="1">
      <c r="A13" s="216" t="s">
        <v>1417</v>
      </c>
      <c r="B13" s="220"/>
      <c r="C13" s="220">
        <v>779.2</v>
      </c>
      <c r="D13" s="220">
        <v>36.700000000000003</v>
      </c>
      <c r="E13" s="220">
        <v>24.05</v>
      </c>
      <c r="F13" s="220">
        <v>141</v>
      </c>
      <c r="G13" s="220">
        <v>583.59</v>
      </c>
      <c r="H13" s="220"/>
      <c r="I13" s="220"/>
      <c r="J13" s="220"/>
    </row>
    <row r="14" spans="1:10" s="88" customFormat="1">
      <c r="A14" s="216"/>
      <c r="B14" s="220"/>
      <c r="C14" s="220"/>
      <c r="D14" s="220"/>
      <c r="E14" s="220"/>
      <c r="F14" s="220"/>
      <c r="G14" s="220"/>
      <c r="H14" s="220"/>
      <c r="I14" s="220"/>
      <c r="J14" s="220"/>
    </row>
    <row r="15" spans="1:10" s="88" customFormat="1">
      <c r="A15" s="216"/>
      <c r="B15" s="220"/>
      <c r="C15" s="220"/>
      <c r="D15" s="220"/>
      <c r="E15" s="220"/>
      <c r="F15" s="220"/>
      <c r="G15" s="220"/>
      <c r="H15" s="220"/>
      <c r="I15" s="220"/>
      <c r="J15" s="220"/>
    </row>
    <row r="16" spans="1:10" s="88" customFormat="1">
      <c r="A16" s="216"/>
      <c r="B16" s="220"/>
      <c r="C16" s="220"/>
      <c r="D16" s="220"/>
      <c r="E16" s="220"/>
      <c r="F16" s="220"/>
      <c r="G16" s="220"/>
      <c r="H16" s="220"/>
      <c r="I16" s="220"/>
      <c r="J16" s="220"/>
    </row>
    <row r="17" spans="1:10">
      <c r="A17" s="214"/>
      <c r="B17" s="213"/>
      <c r="C17" s="213"/>
      <c r="D17" s="213"/>
      <c r="E17" s="213"/>
      <c r="F17" s="213"/>
      <c r="G17" s="213"/>
      <c r="H17" s="213"/>
      <c r="I17" s="213"/>
      <c r="J17" s="213"/>
    </row>
    <row r="18" spans="1:10">
      <c r="A18" s="214"/>
      <c r="B18" s="213"/>
      <c r="C18" s="213"/>
      <c r="D18" s="213"/>
      <c r="E18" s="213"/>
      <c r="F18" s="213"/>
      <c r="G18" s="213"/>
      <c r="H18" s="213"/>
      <c r="I18" s="213"/>
      <c r="J18" s="213"/>
    </row>
    <row r="19" spans="1:10">
      <c r="A19" s="217" t="s">
        <v>105</v>
      </c>
      <c r="B19" s="218">
        <f>SUM(B4:B18)*1.1*0.109</f>
        <v>814.60779400000013</v>
      </c>
      <c r="C19" s="218">
        <f>SUM(C4:C18)*1.1*0.154</f>
        <v>870.35687200000007</v>
      </c>
      <c r="D19" s="218">
        <f>SUM(D4:D18)*1.1*0.245</f>
        <v>3669.3422150000006</v>
      </c>
      <c r="E19" s="218">
        <f>SUM(E4:E18)*1.1*0.395</f>
        <v>4303.9310599999999</v>
      </c>
      <c r="F19" s="218">
        <f>SUM(F4:F18)*1.1*0.617</f>
        <v>5405.3704099999995</v>
      </c>
      <c r="G19" s="218">
        <f>SUM(G4:G18)*1.1*0.963</f>
        <v>5678.9496719999997</v>
      </c>
      <c r="H19" s="218">
        <f>SUM(H4:H18)*1.1*1.578</f>
        <v>751.68819000000019</v>
      </c>
      <c r="I19" s="218">
        <f>SUM(I4:I18)*1.1*2.466</f>
        <v>54.252000000000002</v>
      </c>
      <c r="J19" s="218">
        <f>SUM(J4:J18)*1.1*3.853</f>
        <v>77.815188000000006</v>
      </c>
    </row>
  </sheetData>
  <mergeCells count="1">
    <mergeCell ref="A2:A3"/>
  </mergeCell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workbookViewId="0">
      <selection sqref="A1:G1"/>
    </sheetView>
  </sheetViews>
  <sheetFormatPr defaultColWidth="9.140625" defaultRowHeight="12.75"/>
  <cols>
    <col min="1" max="1" width="10.7109375" style="4" bestFit="1" customWidth="1"/>
    <col min="2" max="6" width="9.140625" style="4"/>
    <col min="7" max="7" width="11.140625" style="4" bestFit="1" customWidth="1"/>
    <col min="8" max="8" width="10" style="393" bestFit="1" customWidth="1"/>
    <col min="9" max="9" width="9.140625" style="393"/>
    <col min="10" max="16384" width="9.140625" style="4"/>
  </cols>
  <sheetData>
    <row r="1" spans="1:9">
      <c r="A1" s="1069" t="s">
        <v>500</v>
      </c>
      <c r="B1" s="1069"/>
      <c r="C1" s="1069"/>
      <c r="D1" s="1069"/>
      <c r="E1" s="1069"/>
      <c r="F1" s="1069"/>
      <c r="G1" s="1069"/>
    </row>
    <row r="3" spans="1:9">
      <c r="A3" s="1066" t="s">
        <v>326</v>
      </c>
      <c r="B3" s="1066" t="s">
        <v>327</v>
      </c>
      <c r="C3" s="100" t="s">
        <v>328</v>
      </c>
      <c r="D3" s="100" t="s">
        <v>329</v>
      </c>
      <c r="E3" s="101" t="s">
        <v>330</v>
      </c>
      <c r="F3" s="101" t="s">
        <v>1144</v>
      </c>
      <c r="G3" s="481" t="s">
        <v>502</v>
      </c>
      <c r="H3" s="486" t="s">
        <v>502</v>
      </c>
      <c r="I3" s="483" t="s">
        <v>502</v>
      </c>
    </row>
    <row r="4" spans="1:9">
      <c r="A4" s="1067"/>
      <c r="B4" s="1067"/>
      <c r="C4" s="103" t="s">
        <v>334</v>
      </c>
      <c r="D4" s="103" t="s">
        <v>335</v>
      </c>
      <c r="E4" s="96" t="s">
        <v>336</v>
      </c>
      <c r="F4" s="96" t="s">
        <v>336</v>
      </c>
      <c r="G4" s="98" t="s">
        <v>501</v>
      </c>
      <c r="H4" s="479" t="s">
        <v>2033</v>
      </c>
      <c r="I4" s="484" t="s">
        <v>2135</v>
      </c>
    </row>
    <row r="5" spans="1:9">
      <c r="A5" s="1068"/>
      <c r="B5" s="1068"/>
      <c r="C5" s="105" t="s">
        <v>339</v>
      </c>
      <c r="D5" s="105" t="s">
        <v>339</v>
      </c>
      <c r="E5" s="125" t="s">
        <v>339</v>
      </c>
      <c r="F5" s="125" t="s">
        <v>339</v>
      </c>
      <c r="G5" s="125" t="s">
        <v>340</v>
      </c>
      <c r="H5" s="487" t="s">
        <v>340</v>
      </c>
      <c r="I5" s="485" t="s">
        <v>340</v>
      </c>
    </row>
    <row r="6" spans="1:9">
      <c r="A6" s="106" t="s">
        <v>343</v>
      </c>
      <c r="B6" s="106">
        <v>1</v>
      </c>
      <c r="C6" s="106">
        <v>9.07</v>
      </c>
      <c r="D6" s="106">
        <v>0.5</v>
      </c>
      <c r="E6" s="106">
        <v>0.12</v>
      </c>
      <c r="F6" s="106">
        <v>0.3</v>
      </c>
      <c r="G6" s="106">
        <f>B6*C6*D6*(E6+F6)</f>
        <v>1.9047000000000001</v>
      </c>
      <c r="H6" s="482">
        <f>B6*C6*D6*E6</f>
        <v>0.54420000000000002</v>
      </c>
      <c r="I6" s="482">
        <f>G6-H6</f>
        <v>1.3605</v>
      </c>
    </row>
    <row r="7" spans="1:9">
      <c r="A7" s="106" t="s">
        <v>344</v>
      </c>
      <c r="B7" s="106">
        <v>1</v>
      </c>
      <c r="C7" s="105">
        <v>8.58</v>
      </c>
      <c r="D7" s="106">
        <v>0.5</v>
      </c>
      <c r="E7" s="106">
        <v>0.12</v>
      </c>
      <c r="F7" s="106">
        <v>0.3</v>
      </c>
      <c r="G7" s="106">
        <f t="shared" ref="G7:G63" si="0">B7*C7*D7*(E7+F7)</f>
        <v>1.8017999999999998</v>
      </c>
      <c r="H7" s="480">
        <f t="shared" ref="H7:H63" si="1">B7*C7*D7*E7</f>
        <v>0.51480000000000004</v>
      </c>
      <c r="I7" s="480">
        <f t="shared" ref="I7:I63" si="2">G7-H7</f>
        <v>1.2869999999999999</v>
      </c>
    </row>
    <row r="8" spans="1:9">
      <c r="A8" s="106" t="s">
        <v>345</v>
      </c>
      <c r="B8" s="106">
        <v>1</v>
      </c>
      <c r="C8" s="105">
        <v>6.81</v>
      </c>
      <c r="D8" s="106">
        <v>0.5</v>
      </c>
      <c r="E8" s="106">
        <v>0.12</v>
      </c>
      <c r="F8" s="106">
        <v>0.3</v>
      </c>
      <c r="G8" s="106">
        <f t="shared" si="0"/>
        <v>1.4300999999999999</v>
      </c>
      <c r="H8" s="480">
        <f t="shared" si="1"/>
        <v>0.40859999999999996</v>
      </c>
      <c r="I8" s="480">
        <f t="shared" si="2"/>
        <v>1.0215000000000001</v>
      </c>
    </row>
    <row r="9" spans="1:9">
      <c r="A9" s="106" t="s">
        <v>346</v>
      </c>
      <c r="B9" s="106">
        <v>1</v>
      </c>
      <c r="C9" s="105">
        <v>3.66</v>
      </c>
      <c r="D9" s="106">
        <v>0.5</v>
      </c>
      <c r="E9" s="106">
        <v>0.12</v>
      </c>
      <c r="F9" s="106">
        <v>0.3</v>
      </c>
      <c r="G9" s="106">
        <f t="shared" si="0"/>
        <v>0.76859999999999995</v>
      </c>
      <c r="H9" s="480">
        <f t="shared" si="1"/>
        <v>0.21959999999999999</v>
      </c>
      <c r="I9" s="480">
        <f t="shared" si="2"/>
        <v>0.54899999999999993</v>
      </c>
    </row>
    <row r="10" spans="1:9">
      <c r="A10" s="106" t="s">
        <v>347</v>
      </c>
      <c r="B10" s="106">
        <v>1</v>
      </c>
      <c r="C10" s="106">
        <v>9.07</v>
      </c>
      <c r="D10" s="106">
        <v>0.5</v>
      </c>
      <c r="E10" s="106">
        <v>0.12</v>
      </c>
      <c r="F10" s="106">
        <v>0.3</v>
      </c>
      <c r="G10" s="106">
        <f t="shared" si="0"/>
        <v>1.9047000000000001</v>
      </c>
      <c r="H10" s="480">
        <f t="shared" si="1"/>
        <v>0.54420000000000002</v>
      </c>
      <c r="I10" s="480">
        <f t="shared" si="2"/>
        <v>1.3605</v>
      </c>
    </row>
    <row r="11" spans="1:9">
      <c r="A11" s="106" t="s">
        <v>348</v>
      </c>
      <c r="B11" s="106">
        <v>1</v>
      </c>
      <c r="C11" s="105">
        <v>3.03</v>
      </c>
      <c r="D11" s="106">
        <v>0.5</v>
      </c>
      <c r="E11" s="106">
        <v>0.12</v>
      </c>
      <c r="F11" s="106">
        <v>0.3</v>
      </c>
      <c r="G11" s="106">
        <f t="shared" si="0"/>
        <v>0.63629999999999998</v>
      </c>
      <c r="H11" s="480">
        <f t="shared" si="1"/>
        <v>0.18179999999999999</v>
      </c>
      <c r="I11" s="480">
        <f t="shared" si="2"/>
        <v>0.45450000000000002</v>
      </c>
    </row>
    <row r="12" spans="1:9">
      <c r="A12" s="106" t="s">
        <v>349</v>
      </c>
      <c r="B12" s="106">
        <v>1</v>
      </c>
      <c r="C12" s="105">
        <v>6.81</v>
      </c>
      <c r="D12" s="106">
        <v>0.5</v>
      </c>
      <c r="E12" s="106">
        <v>0.12</v>
      </c>
      <c r="F12" s="106">
        <v>0.3</v>
      </c>
      <c r="G12" s="106">
        <f t="shared" si="0"/>
        <v>1.4300999999999999</v>
      </c>
      <c r="H12" s="480">
        <f t="shared" si="1"/>
        <v>0.40859999999999996</v>
      </c>
      <c r="I12" s="480">
        <f t="shared" si="2"/>
        <v>1.0215000000000001</v>
      </c>
    </row>
    <row r="13" spans="1:9">
      <c r="A13" s="106" t="s">
        <v>350</v>
      </c>
      <c r="B13" s="106">
        <v>1</v>
      </c>
      <c r="C13" s="106">
        <v>9.07</v>
      </c>
      <c r="D13" s="106">
        <v>0.5</v>
      </c>
      <c r="E13" s="106">
        <v>0.12</v>
      </c>
      <c r="F13" s="106">
        <v>0.3</v>
      </c>
      <c r="G13" s="106">
        <f t="shared" si="0"/>
        <v>1.9047000000000001</v>
      </c>
      <c r="H13" s="480">
        <f t="shared" si="1"/>
        <v>0.54420000000000002</v>
      </c>
      <c r="I13" s="480">
        <f t="shared" si="2"/>
        <v>1.3605</v>
      </c>
    </row>
    <row r="14" spans="1:9">
      <c r="A14" s="106" t="s">
        <v>351</v>
      </c>
      <c r="B14" s="106">
        <v>1</v>
      </c>
      <c r="C14" s="105">
        <v>2.5</v>
      </c>
      <c r="D14" s="106">
        <v>0.5</v>
      </c>
      <c r="E14" s="106">
        <v>0.12</v>
      </c>
      <c r="F14" s="106">
        <v>0.3</v>
      </c>
      <c r="G14" s="106">
        <f t="shared" si="0"/>
        <v>0.52500000000000002</v>
      </c>
      <c r="H14" s="480">
        <f t="shared" si="1"/>
        <v>0.15</v>
      </c>
      <c r="I14" s="480">
        <f t="shared" si="2"/>
        <v>0.375</v>
      </c>
    </row>
    <row r="15" spans="1:9">
      <c r="A15" s="106" t="s">
        <v>352</v>
      </c>
      <c r="B15" s="106">
        <v>1</v>
      </c>
      <c r="C15" s="105">
        <v>2.5</v>
      </c>
      <c r="D15" s="106">
        <v>0.5</v>
      </c>
      <c r="E15" s="106">
        <v>0.12</v>
      </c>
      <c r="F15" s="106">
        <v>0.3</v>
      </c>
      <c r="G15" s="106">
        <f t="shared" si="0"/>
        <v>0.52500000000000002</v>
      </c>
      <c r="H15" s="480">
        <f t="shared" si="1"/>
        <v>0.15</v>
      </c>
      <c r="I15" s="480">
        <f t="shared" si="2"/>
        <v>0.375</v>
      </c>
    </row>
    <row r="16" spans="1:9">
      <c r="A16" s="106" t="s">
        <v>353</v>
      </c>
      <c r="B16" s="106">
        <v>1</v>
      </c>
      <c r="C16" s="105">
        <v>5.14</v>
      </c>
      <c r="D16" s="106">
        <v>0.5</v>
      </c>
      <c r="E16" s="106">
        <v>0.12</v>
      </c>
      <c r="F16" s="106">
        <v>0.3</v>
      </c>
      <c r="G16" s="106">
        <f t="shared" si="0"/>
        <v>1.0793999999999999</v>
      </c>
      <c r="H16" s="480">
        <f t="shared" si="1"/>
        <v>0.30839999999999995</v>
      </c>
      <c r="I16" s="480">
        <f t="shared" si="2"/>
        <v>0.77099999999999991</v>
      </c>
    </row>
    <row r="17" spans="1:9">
      <c r="A17" s="106" t="s">
        <v>354</v>
      </c>
      <c r="B17" s="106">
        <v>1</v>
      </c>
      <c r="C17" s="105">
        <v>6.81</v>
      </c>
      <c r="D17" s="106">
        <v>0.5</v>
      </c>
      <c r="E17" s="106">
        <v>0.12</v>
      </c>
      <c r="F17" s="106">
        <v>0.3</v>
      </c>
      <c r="G17" s="106">
        <f t="shared" si="0"/>
        <v>1.4300999999999999</v>
      </c>
      <c r="H17" s="480">
        <f t="shared" si="1"/>
        <v>0.40859999999999996</v>
      </c>
      <c r="I17" s="480">
        <f t="shared" si="2"/>
        <v>1.0215000000000001</v>
      </c>
    </row>
    <row r="18" spans="1:9">
      <c r="A18" s="106" t="s">
        <v>355</v>
      </c>
      <c r="B18" s="106">
        <v>1</v>
      </c>
      <c r="C18" s="105">
        <v>3.39</v>
      </c>
      <c r="D18" s="106">
        <v>0.5</v>
      </c>
      <c r="E18" s="106">
        <v>0.12</v>
      </c>
      <c r="F18" s="106">
        <v>0.3</v>
      </c>
      <c r="G18" s="106">
        <f t="shared" si="0"/>
        <v>0.71189999999999998</v>
      </c>
      <c r="H18" s="480">
        <f t="shared" si="1"/>
        <v>0.2034</v>
      </c>
      <c r="I18" s="480">
        <f t="shared" si="2"/>
        <v>0.50849999999999995</v>
      </c>
    </row>
    <row r="19" spans="1:9">
      <c r="A19" s="106" t="s">
        <v>356</v>
      </c>
      <c r="B19" s="106">
        <v>1</v>
      </c>
      <c r="C19" s="105">
        <v>3.06</v>
      </c>
      <c r="D19" s="106">
        <v>0.5</v>
      </c>
      <c r="E19" s="106">
        <v>0.12</v>
      </c>
      <c r="F19" s="106">
        <v>0.3</v>
      </c>
      <c r="G19" s="106">
        <f t="shared" si="0"/>
        <v>0.64259999999999995</v>
      </c>
      <c r="H19" s="480">
        <f t="shared" si="1"/>
        <v>0.18359999999999999</v>
      </c>
      <c r="I19" s="480">
        <f t="shared" si="2"/>
        <v>0.45899999999999996</v>
      </c>
    </row>
    <row r="20" spans="1:9">
      <c r="A20" s="106" t="s">
        <v>357</v>
      </c>
      <c r="B20" s="106">
        <v>1</v>
      </c>
      <c r="C20" s="105">
        <v>5.14</v>
      </c>
      <c r="D20" s="106">
        <v>0.5</v>
      </c>
      <c r="E20" s="106">
        <v>0.12</v>
      </c>
      <c r="F20" s="106">
        <v>0.3</v>
      </c>
      <c r="G20" s="106">
        <f t="shared" si="0"/>
        <v>1.0793999999999999</v>
      </c>
      <c r="H20" s="480">
        <f t="shared" si="1"/>
        <v>0.30839999999999995</v>
      </c>
      <c r="I20" s="480">
        <f t="shared" si="2"/>
        <v>0.77099999999999991</v>
      </c>
    </row>
    <row r="21" spans="1:9">
      <c r="A21" s="106" t="s">
        <v>358</v>
      </c>
      <c r="B21" s="106">
        <v>1</v>
      </c>
      <c r="C21" s="105">
        <v>3.68</v>
      </c>
      <c r="D21" s="106">
        <v>0.5</v>
      </c>
      <c r="E21" s="106">
        <v>0.12</v>
      </c>
      <c r="F21" s="106">
        <v>0.3</v>
      </c>
      <c r="G21" s="106">
        <f t="shared" si="0"/>
        <v>0.77280000000000004</v>
      </c>
      <c r="H21" s="480">
        <f t="shared" si="1"/>
        <v>0.2208</v>
      </c>
      <c r="I21" s="480">
        <f t="shared" si="2"/>
        <v>0.55200000000000005</v>
      </c>
    </row>
    <row r="22" spans="1:9">
      <c r="A22" s="106" t="s">
        <v>360</v>
      </c>
      <c r="B22" s="106">
        <v>1</v>
      </c>
      <c r="C22" s="105">
        <v>3.83</v>
      </c>
      <c r="D22" s="106">
        <v>0.5</v>
      </c>
      <c r="E22" s="106">
        <v>0.12</v>
      </c>
      <c r="F22" s="106">
        <v>0.3</v>
      </c>
      <c r="G22" s="106">
        <f t="shared" si="0"/>
        <v>0.80430000000000001</v>
      </c>
      <c r="H22" s="480">
        <f t="shared" si="1"/>
        <v>0.2298</v>
      </c>
      <c r="I22" s="480">
        <f t="shared" si="2"/>
        <v>0.57450000000000001</v>
      </c>
    </row>
    <row r="23" spans="1:9">
      <c r="A23" s="106" t="s">
        <v>361</v>
      </c>
      <c r="B23" s="106">
        <v>1</v>
      </c>
      <c r="C23" s="105">
        <v>6.81</v>
      </c>
      <c r="D23" s="106">
        <v>0.5</v>
      </c>
      <c r="E23" s="106">
        <v>0.12</v>
      </c>
      <c r="F23" s="106">
        <v>0.3</v>
      </c>
      <c r="G23" s="106">
        <f t="shared" si="0"/>
        <v>1.4300999999999999</v>
      </c>
      <c r="H23" s="480">
        <f t="shared" si="1"/>
        <v>0.40859999999999996</v>
      </c>
      <c r="I23" s="480">
        <f t="shared" si="2"/>
        <v>1.0215000000000001</v>
      </c>
    </row>
    <row r="24" spans="1:9">
      <c r="A24" s="106" t="s">
        <v>362</v>
      </c>
      <c r="B24" s="106">
        <v>1</v>
      </c>
      <c r="C24" s="105">
        <v>9.07</v>
      </c>
      <c r="D24" s="106">
        <v>0.5</v>
      </c>
      <c r="E24" s="106">
        <v>0.12</v>
      </c>
      <c r="F24" s="106">
        <v>0.3</v>
      </c>
      <c r="G24" s="106">
        <f t="shared" si="0"/>
        <v>1.9047000000000001</v>
      </c>
      <c r="H24" s="480">
        <f t="shared" si="1"/>
        <v>0.54420000000000002</v>
      </c>
      <c r="I24" s="480">
        <f t="shared" si="2"/>
        <v>1.3605</v>
      </c>
    </row>
    <row r="25" spans="1:9">
      <c r="A25" s="106" t="s">
        <v>363</v>
      </c>
      <c r="B25" s="106">
        <v>1</v>
      </c>
      <c r="C25" s="105">
        <v>8.58</v>
      </c>
      <c r="D25" s="106">
        <v>0.5</v>
      </c>
      <c r="E25" s="106">
        <v>0.15</v>
      </c>
      <c r="F25" s="106">
        <v>0.3</v>
      </c>
      <c r="G25" s="106">
        <f t="shared" si="0"/>
        <v>1.9304999999999999</v>
      </c>
      <c r="H25" s="480">
        <f t="shared" si="1"/>
        <v>0.64349999999999996</v>
      </c>
      <c r="I25" s="480">
        <f t="shared" si="2"/>
        <v>1.2869999999999999</v>
      </c>
    </row>
    <row r="26" spans="1:9">
      <c r="A26" s="106" t="s">
        <v>364</v>
      </c>
      <c r="B26" s="106">
        <v>1</v>
      </c>
      <c r="C26" s="105">
        <v>28.03</v>
      </c>
      <c r="D26" s="106">
        <v>0.5</v>
      </c>
      <c r="E26" s="106">
        <v>0.12</v>
      </c>
      <c r="F26" s="106">
        <v>0.3</v>
      </c>
      <c r="G26" s="106">
        <f t="shared" si="0"/>
        <v>5.8863000000000003</v>
      </c>
      <c r="H26" s="480">
        <f t="shared" si="1"/>
        <v>1.6818</v>
      </c>
      <c r="I26" s="480">
        <f t="shared" si="2"/>
        <v>4.2045000000000003</v>
      </c>
    </row>
    <row r="27" spans="1:9">
      <c r="A27" s="106" t="s">
        <v>365</v>
      </c>
      <c r="B27" s="106">
        <v>1</v>
      </c>
      <c r="C27" s="105">
        <v>4.8499999999999996</v>
      </c>
      <c r="D27" s="106">
        <v>0.5</v>
      </c>
      <c r="E27" s="106">
        <v>0.12</v>
      </c>
      <c r="F27" s="106">
        <v>0.3</v>
      </c>
      <c r="G27" s="106">
        <f t="shared" si="0"/>
        <v>1.0185</v>
      </c>
      <c r="H27" s="480">
        <f t="shared" si="1"/>
        <v>0.29099999999999998</v>
      </c>
      <c r="I27" s="480">
        <f t="shared" si="2"/>
        <v>0.72750000000000004</v>
      </c>
    </row>
    <row r="28" spans="1:9">
      <c r="A28" s="106" t="s">
        <v>366</v>
      </c>
      <c r="B28" s="106">
        <v>1</v>
      </c>
      <c r="C28" s="105">
        <v>10.26</v>
      </c>
      <c r="D28" s="106">
        <v>0.5</v>
      </c>
      <c r="E28" s="106">
        <v>0.12</v>
      </c>
      <c r="F28" s="106">
        <v>0.3</v>
      </c>
      <c r="G28" s="106">
        <f t="shared" si="0"/>
        <v>2.1545999999999998</v>
      </c>
      <c r="H28" s="480">
        <f t="shared" si="1"/>
        <v>0.61559999999999993</v>
      </c>
      <c r="I28" s="480">
        <f t="shared" si="2"/>
        <v>1.5389999999999999</v>
      </c>
    </row>
    <row r="29" spans="1:9">
      <c r="A29" s="106" t="s">
        <v>367</v>
      </c>
      <c r="B29" s="106">
        <v>1</v>
      </c>
      <c r="C29" s="105">
        <v>1.21</v>
      </c>
      <c r="D29" s="106">
        <v>0.3</v>
      </c>
      <c r="E29" s="106">
        <v>0.15</v>
      </c>
      <c r="F29" s="106">
        <v>0.3</v>
      </c>
      <c r="G29" s="106">
        <f t="shared" si="0"/>
        <v>0.16334999999999997</v>
      </c>
      <c r="H29" s="480">
        <f t="shared" si="1"/>
        <v>5.4449999999999998E-2</v>
      </c>
      <c r="I29" s="480">
        <f t="shared" si="2"/>
        <v>0.10889999999999997</v>
      </c>
    </row>
    <row r="30" spans="1:9">
      <c r="A30" s="106" t="s">
        <v>368</v>
      </c>
      <c r="B30" s="106">
        <v>1</v>
      </c>
      <c r="C30" s="105">
        <v>13.19</v>
      </c>
      <c r="D30" s="106">
        <v>0.6</v>
      </c>
      <c r="E30" s="106">
        <v>0.15</v>
      </c>
      <c r="F30" s="106">
        <v>0.3</v>
      </c>
      <c r="G30" s="106">
        <f t="shared" si="0"/>
        <v>3.5612999999999997</v>
      </c>
      <c r="H30" s="480">
        <f t="shared" si="1"/>
        <v>1.1870999999999998</v>
      </c>
      <c r="I30" s="480">
        <f t="shared" si="2"/>
        <v>2.3742000000000001</v>
      </c>
    </row>
    <row r="31" spans="1:9">
      <c r="A31" s="106" t="s">
        <v>369</v>
      </c>
      <c r="B31" s="106">
        <v>1</v>
      </c>
      <c r="C31" s="105">
        <v>13.18</v>
      </c>
      <c r="D31" s="106">
        <v>0.5</v>
      </c>
      <c r="E31" s="106">
        <v>0.12</v>
      </c>
      <c r="F31" s="106">
        <v>0.3</v>
      </c>
      <c r="G31" s="106">
        <f t="shared" si="0"/>
        <v>2.7677999999999998</v>
      </c>
      <c r="H31" s="480">
        <f t="shared" si="1"/>
        <v>0.79079999999999995</v>
      </c>
      <c r="I31" s="480">
        <f t="shared" si="2"/>
        <v>1.9769999999999999</v>
      </c>
    </row>
    <row r="32" spans="1:9">
      <c r="A32" s="106" t="s">
        <v>370</v>
      </c>
      <c r="B32" s="106">
        <v>1</v>
      </c>
      <c r="C32" s="105">
        <v>7.47</v>
      </c>
      <c r="D32" s="106">
        <v>0.5</v>
      </c>
      <c r="E32" s="106">
        <v>0.12</v>
      </c>
      <c r="F32" s="106">
        <v>0.3</v>
      </c>
      <c r="G32" s="106">
        <f t="shared" si="0"/>
        <v>1.5687</v>
      </c>
      <c r="H32" s="480">
        <f t="shared" si="1"/>
        <v>0.44819999999999999</v>
      </c>
      <c r="I32" s="480">
        <f t="shared" si="2"/>
        <v>1.1205000000000001</v>
      </c>
    </row>
    <row r="33" spans="1:9">
      <c r="A33" s="106" t="s">
        <v>371</v>
      </c>
      <c r="B33" s="106">
        <v>1</v>
      </c>
      <c r="C33" s="105">
        <v>7.32</v>
      </c>
      <c r="D33" s="106">
        <v>0.5</v>
      </c>
      <c r="E33" s="106">
        <v>0.12</v>
      </c>
      <c r="F33" s="106">
        <v>0.3</v>
      </c>
      <c r="G33" s="106">
        <f t="shared" si="0"/>
        <v>1.5371999999999999</v>
      </c>
      <c r="H33" s="480">
        <f t="shared" si="1"/>
        <v>0.43919999999999998</v>
      </c>
      <c r="I33" s="480">
        <f t="shared" si="2"/>
        <v>1.0979999999999999</v>
      </c>
    </row>
    <row r="34" spans="1:9">
      <c r="A34" s="106" t="s">
        <v>372</v>
      </c>
      <c r="B34" s="106">
        <v>2</v>
      </c>
      <c r="C34" s="105">
        <v>1.23</v>
      </c>
      <c r="D34" s="106">
        <v>0.3</v>
      </c>
      <c r="E34" s="106">
        <v>0.15</v>
      </c>
      <c r="F34" s="106">
        <v>0.3</v>
      </c>
      <c r="G34" s="106">
        <f t="shared" si="0"/>
        <v>0.33209999999999995</v>
      </c>
      <c r="H34" s="480">
        <f t="shared" si="1"/>
        <v>0.11069999999999999</v>
      </c>
      <c r="I34" s="480">
        <f t="shared" si="2"/>
        <v>0.22139999999999996</v>
      </c>
    </row>
    <row r="35" spans="1:9">
      <c r="A35" s="106" t="s">
        <v>373</v>
      </c>
      <c r="B35" s="106">
        <v>1</v>
      </c>
      <c r="C35" s="105">
        <v>7.17</v>
      </c>
      <c r="D35" s="106">
        <v>0.5</v>
      </c>
      <c r="E35" s="106">
        <v>0.12</v>
      </c>
      <c r="F35" s="106">
        <v>0.3</v>
      </c>
      <c r="G35" s="106">
        <f t="shared" si="0"/>
        <v>1.5057</v>
      </c>
      <c r="H35" s="480">
        <f t="shared" si="1"/>
        <v>0.43019999999999997</v>
      </c>
      <c r="I35" s="480">
        <f t="shared" si="2"/>
        <v>1.0755000000000001</v>
      </c>
    </row>
    <row r="36" spans="1:9">
      <c r="A36" s="106" t="s">
        <v>374</v>
      </c>
      <c r="B36" s="106">
        <v>1</v>
      </c>
      <c r="C36" s="105">
        <v>7.17</v>
      </c>
      <c r="D36" s="106">
        <v>0.5</v>
      </c>
      <c r="E36" s="106">
        <v>0.12</v>
      </c>
      <c r="F36" s="106">
        <v>0.3</v>
      </c>
      <c r="G36" s="106">
        <f t="shared" si="0"/>
        <v>1.5057</v>
      </c>
      <c r="H36" s="480">
        <f t="shared" si="1"/>
        <v>0.43019999999999997</v>
      </c>
      <c r="I36" s="480">
        <f t="shared" si="2"/>
        <v>1.0755000000000001</v>
      </c>
    </row>
    <row r="37" spans="1:9">
      <c r="A37" s="106" t="s">
        <v>375</v>
      </c>
      <c r="B37" s="106">
        <v>1</v>
      </c>
      <c r="C37" s="105">
        <v>2.65</v>
      </c>
      <c r="D37" s="106">
        <v>0.5</v>
      </c>
      <c r="E37" s="106">
        <v>0.12</v>
      </c>
      <c r="F37" s="106">
        <v>0.3</v>
      </c>
      <c r="G37" s="106">
        <f t="shared" si="0"/>
        <v>0.55649999999999999</v>
      </c>
      <c r="H37" s="480">
        <f t="shared" si="1"/>
        <v>0.159</v>
      </c>
      <c r="I37" s="480">
        <f t="shared" si="2"/>
        <v>0.39749999999999996</v>
      </c>
    </row>
    <row r="38" spans="1:9">
      <c r="A38" s="106" t="s">
        <v>376</v>
      </c>
      <c r="B38" s="106">
        <v>1</v>
      </c>
      <c r="C38" s="105">
        <v>2.65</v>
      </c>
      <c r="D38" s="106">
        <v>0.5</v>
      </c>
      <c r="E38" s="106">
        <v>0.12</v>
      </c>
      <c r="F38" s="106">
        <v>0.3</v>
      </c>
      <c r="G38" s="106">
        <f t="shared" si="0"/>
        <v>0.55649999999999999</v>
      </c>
      <c r="H38" s="480">
        <f t="shared" si="1"/>
        <v>0.159</v>
      </c>
      <c r="I38" s="480">
        <f t="shared" si="2"/>
        <v>0.39749999999999996</v>
      </c>
    </row>
    <row r="39" spans="1:9">
      <c r="A39" s="106" t="s">
        <v>377</v>
      </c>
      <c r="B39" s="106">
        <v>1</v>
      </c>
      <c r="C39" s="105">
        <v>28.03</v>
      </c>
      <c r="D39" s="106">
        <v>0.6</v>
      </c>
      <c r="E39" s="106">
        <v>0.15</v>
      </c>
      <c r="F39" s="106">
        <v>0.3</v>
      </c>
      <c r="G39" s="106">
        <f t="shared" si="0"/>
        <v>7.5681000000000003</v>
      </c>
      <c r="H39" s="480">
        <f t="shared" si="1"/>
        <v>2.5226999999999999</v>
      </c>
      <c r="I39" s="480">
        <f t="shared" si="2"/>
        <v>5.0454000000000008</v>
      </c>
    </row>
    <row r="40" spans="1:9">
      <c r="A40" s="106" t="s">
        <v>378</v>
      </c>
      <c r="B40" s="106">
        <v>1</v>
      </c>
      <c r="C40" s="106">
        <v>30.77</v>
      </c>
      <c r="D40" s="106">
        <v>0.45</v>
      </c>
      <c r="E40" s="106">
        <v>0.15</v>
      </c>
      <c r="F40" s="106">
        <v>0.3</v>
      </c>
      <c r="G40" s="106">
        <f t="shared" si="0"/>
        <v>6.230925</v>
      </c>
      <c r="H40" s="480">
        <f t="shared" si="1"/>
        <v>2.076975</v>
      </c>
      <c r="I40" s="480">
        <f t="shared" si="2"/>
        <v>4.15395</v>
      </c>
    </row>
    <row r="41" spans="1:9">
      <c r="A41" s="106" t="s">
        <v>379</v>
      </c>
      <c r="B41" s="105">
        <v>1</v>
      </c>
      <c r="C41" s="105">
        <v>30.61</v>
      </c>
      <c r="D41" s="105">
        <v>0.45</v>
      </c>
      <c r="E41" s="105">
        <v>0.15</v>
      </c>
      <c r="F41" s="106">
        <v>0.3</v>
      </c>
      <c r="G41" s="106">
        <f t="shared" si="0"/>
        <v>6.1985249999999992</v>
      </c>
      <c r="H41" s="480">
        <f t="shared" si="1"/>
        <v>2.0661749999999999</v>
      </c>
      <c r="I41" s="480">
        <f t="shared" si="2"/>
        <v>4.1323499999999989</v>
      </c>
    </row>
    <row r="42" spans="1:9">
      <c r="A42" s="106" t="s">
        <v>380</v>
      </c>
      <c r="B42" s="105">
        <v>1</v>
      </c>
      <c r="C42" s="105">
        <v>21.99</v>
      </c>
      <c r="D42" s="105">
        <v>0.45</v>
      </c>
      <c r="E42" s="105">
        <v>0.15</v>
      </c>
      <c r="F42" s="106">
        <v>0.3</v>
      </c>
      <c r="G42" s="106">
        <f t="shared" si="0"/>
        <v>4.4529749999999995</v>
      </c>
      <c r="H42" s="480">
        <f t="shared" si="1"/>
        <v>1.4843249999999999</v>
      </c>
      <c r="I42" s="480">
        <f t="shared" si="2"/>
        <v>2.9686499999999993</v>
      </c>
    </row>
    <row r="43" spans="1:9">
      <c r="A43" s="106" t="s">
        <v>381</v>
      </c>
      <c r="B43" s="105">
        <v>1</v>
      </c>
      <c r="C43" s="105">
        <v>21.99</v>
      </c>
      <c r="D43" s="105">
        <v>0.45</v>
      </c>
      <c r="E43" s="105">
        <v>0.15</v>
      </c>
      <c r="F43" s="106">
        <v>0.3</v>
      </c>
      <c r="G43" s="106">
        <f t="shared" si="0"/>
        <v>4.4529749999999995</v>
      </c>
      <c r="H43" s="480">
        <f t="shared" si="1"/>
        <v>1.4843249999999999</v>
      </c>
      <c r="I43" s="480">
        <f t="shared" si="2"/>
        <v>2.9686499999999993</v>
      </c>
    </row>
    <row r="44" spans="1:9">
      <c r="A44" s="106" t="s">
        <v>410</v>
      </c>
      <c r="B44" s="105">
        <v>2</v>
      </c>
      <c r="C44" s="105">
        <v>2.95</v>
      </c>
      <c r="D44" s="105">
        <v>0.45</v>
      </c>
      <c r="E44" s="105">
        <v>0.15</v>
      </c>
      <c r="F44" s="106">
        <v>0.3</v>
      </c>
      <c r="G44" s="106">
        <f t="shared" si="0"/>
        <v>1.19475</v>
      </c>
      <c r="H44" s="480">
        <f t="shared" si="1"/>
        <v>0.39825000000000005</v>
      </c>
      <c r="I44" s="480">
        <f t="shared" si="2"/>
        <v>0.79649999999999999</v>
      </c>
    </row>
    <row r="45" spans="1:9">
      <c r="A45" s="106" t="s">
        <v>411</v>
      </c>
      <c r="B45" s="105">
        <v>2</v>
      </c>
      <c r="C45" s="105">
        <v>2.95</v>
      </c>
      <c r="D45" s="105">
        <v>0.45</v>
      </c>
      <c r="E45" s="105">
        <v>0.15</v>
      </c>
      <c r="F45" s="106">
        <v>0.3</v>
      </c>
      <c r="G45" s="106">
        <f t="shared" si="0"/>
        <v>1.19475</v>
      </c>
      <c r="H45" s="480">
        <f t="shared" si="1"/>
        <v>0.39825000000000005</v>
      </c>
      <c r="I45" s="480">
        <f t="shared" si="2"/>
        <v>0.79649999999999999</v>
      </c>
    </row>
    <row r="46" spans="1:9">
      <c r="A46" s="106" t="s">
        <v>412</v>
      </c>
      <c r="B46" s="105">
        <v>2</v>
      </c>
      <c r="C46" s="105">
        <v>2.95</v>
      </c>
      <c r="D46" s="105">
        <v>0.45</v>
      </c>
      <c r="E46" s="105">
        <v>0.15</v>
      </c>
      <c r="F46" s="106">
        <v>0.3</v>
      </c>
      <c r="G46" s="106">
        <f t="shared" si="0"/>
        <v>1.19475</v>
      </c>
      <c r="H46" s="480">
        <f t="shared" si="1"/>
        <v>0.39825000000000005</v>
      </c>
      <c r="I46" s="480">
        <f t="shared" si="2"/>
        <v>0.79649999999999999</v>
      </c>
    </row>
    <row r="47" spans="1:9">
      <c r="A47" s="106" t="s">
        <v>382</v>
      </c>
      <c r="B47" s="105">
        <v>1</v>
      </c>
      <c r="C47" s="105">
        <v>13.48</v>
      </c>
      <c r="D47" s="105">
        <v>0.45</v>
      </c>
      <c r="E47" s="105">
        <v>0.15</v>
      </c>
      <c r="F47" s="106">
        <v>0.3</v>
      </c>
      <c r="G47" s="106">
        <f t="shared" si="0"/>
        <v>2.7297000000000002</v>
      </c>
      <c r="H47" s="480">
        <f t="shared" si="1"/>
        <v>0.90990000000000004</v>
      </c>
      <c r="I47" s="480">
        <f t="shared" si="2"/>
        <v>1.8198000000000003</v>
      </c>
    </row>
    <row r="48" spans="1:9">
      <c r="A48" s="106" t="s">
        <v>413</v>
      </c>
      <c r="B48" s="105">
        <v>2</v>
      </c>
      <c r="C48" s="105">
        <v>8.57</v>
      </c>
      <c r="D48" s="105">
        <v>0.45</v>
      </c>
      <c r="E48" s="105">
        <v>0.15</v>
      </c>
      <c r="F48" s="106">
        <v>0.3</v>
      </c>
      <c r="G48" s="106">
        <f t="shared" si="0"/>
        <v>3.4708499999999995</v>
      </c>
      <c r="H48" s="480">
        <f t="shared" si="1"/>
        <v>1.1569499999999999</v>
      </c>
      <c r="I48" s="480">
        <f t="shared" si="2"/>
        <v>2.3138999999999994</v>
      </c>
    </row>
    <row r="49" spans="1:9">
      <c r="A49" s="106" t="s">
        <v>414</v>
      </c>
      <c r="B49" s="105">
        <v>2</v>
      </c>
      <c r="C49" s="105">
        <v>4.84</v>
      </c>
      <c r="D49" s="105">
        <v>0.45</v>
      </c>
      <c r="E49" s="105">
        <v>0.15</v>
      </c>
      <c r="F49" s="106">
        <v>0.3</v>
      </c>
      <c r="G49" s="106">
        <f t="shared" si="0"/>
        <v>1.9601999999999997</v>
      </c>
      <c r="H49" s="480">
        <f t="shared" si="1"/>
        <v>0.65339999999999998</v>
      </c>
      <c r="I49" s="480">
        <f t="shared" si="2"/>
        <v>1.3067999999999997</v>
      </c>
    </row>
    <row r="50" spans="1:9">
      <c r="A50" s="106" t="s">
        <v>415</v>
      </c>
      <c r="B50" s="105">
        <v>2</v>
      </c>
      <c r="C50" s="105">
        <v>2.4</v>
      </c>
      <c r="D50" s="105">
        <v>0.45</v>
      </c>
      <c r="E50" s="105">
        <v>0.15</v>
      </c>
      <c r="F50" s="106">
        <v>0.3</v>
      </c>
      <c r="G50" s="106">
        <f t="shared" si="0"/>
        <v>0.97199999999999998</v>
      </c>
      <c r="H50" s="480">
        <f t="shared" si="1"/>
        <v>0.32400000000000001</v>
      </c>
      <c r="I50" s="480">
        <f t="shared" si="2"/>
        <v>0.64799999999999991</v>
      </c>
    </row>
    <row r="51" spans="1:9">
      <c r="A51" s="106" t="s">
        <v>418</v>
      </c>
      <c r="B51" s="105">
        <v>2</v>
      </c>
      <c r="C51" s="105">
        <v>2.4</v>
      </c>
      <c r="D51" s="105">
        <v>0.45</v>
      </c>
      <c r="E51" s="105">
        <v>0.15</v>
      </c>
      <c r="F51" s="106">
        <v>0.3</v>
      </c>
      <c r="G51" s="106">
        <f t="shared" si="0"/>
        <v>0.97199999999999998</v>
      </c>
      <c r="H51" s="480">
        <f t="shared" si="1"/>
        <v>0.32400000000000001</v>
      </c>
      <c r="I51" s="480">
        <f t="shared" si="2"/>
        <v>0.64799999999999991</v>
      </c>
    </row>
    <row r="52" spans="1:9">
      <c r="A52" s="106" t="s">
        <v>419</v>
      </c>
      <c r="B52" s="105">
        <v>2</v>
      </c>
      <c r="C52" s="105">
        <v>2.4</v>
      </c>
      <c r="D52" s="105">
        <v>0.45</v>
      </c>
      <c r="E52" s="105">
        <v>0.15</v>
      </c>
      <c r="F52" s="106">
        <v>0.3</v>
      </c>
      <c r="G52" s="106">
        <f t="shared" si="0"/>
        <v>0.97199999999999998</v>
      </c>
      <c r="H52" s="480">
        <f t="shared" si="1"/>
        <v>0.32400000000000001</v>
      </c>
      <c r="I52" s="480">
        <f t="shared" si="2"/>
        <v>0.64799999999999991</v>
      </c>
    </row>
    <row r="53" spans="1:9">
      <c r="A53" s="106" t="s">
        <v>422</v>
      </c>
      <c r="B53" s="105">
        <v>2</v>
      </c>
      <c r="C53" s="105">
        <v>2.4</v>
      </c>
      <c r="D53" s="105">
        <v>0.45</v>
      </c>
      <c r="E53" s="105">
        <v>0.15</v>
      </c>
      <c r="F53" s="106">
        <v>0.3</v>
      </c>
      <c r="G53" s="106">
        <f t="shared" si="0"/>
        <v>0.97199999999999998</v>
      </c>
      <c r="H53" s="480">
        <f t="shared" si="1"/>
        <v>0.32400000000000001</v>
      </c>
      <c r="I53" s="480">
        <f t="shared" si="2"/>
        <v>0.64799999999999991</v>
      </c>
    </row>
    <row r="54" spans="1:9">
      <c r="A54" s="106" t="s">
        <v>416</v>
      </c>
      <c r="B54" s="105">
        <v>2</v>
      </c>
      <c r="C54" s="105">
        <v>2.4</v>
      </c>
      <c r="D54" s="105">
        <v>0.45</v>
      </c>
      <c r="E54" s="105">
        <v>0.15</v>
      </c>
      <c r="F54" s="106">
        <v>0.3</v>
      </c>
      <c r="G54" s="106">
        <f t="shared" si="0"/>
        <v>0.97199999999999998</v>
      </c>
      <c r="H54" s="480">
        <f t="shared" si="1"/>
        <v>0.32400000000000001</v>
      </c>
      <c r="I54" s="480">
        <f t="shared" si="2"/>
        <v>0.64799999999999991</v>
      </c>
    </row>
    <row r="55" spans="1:9">
      <c r="A55" s="106" t="s">
        <v>417</v>
      </c>
      <c r="B55" s="105">
        <v>2</v>
      </c>
      <c r="C55" s="105">
        <v>2.4</v>
      </c>
      <c r="D55" s="105">
        <v>0.45</v>
      </c>
      <c r="E55" s="105">
        <v>0.15</v>
      </c>
      <c r="F55" s="106">
        <v>0.3</v>
      </c>
      <c r="G55" s="106">
        <f t="shared" si="0"/>
        <v>0.97199999999999998</v>
      </c>
      <c r="H55" s="480">
        <f t="shared" si="1"/>
        <v>0.32400000000000001</v>
      </c>
      <c r="I55" s="480">
        <f t="shared" si="2"/>
        <v>0.64799999999999991</v>
      </c>
    </row>
    <row r="56" spans="1:9">
      <c r="A56" s="106" t="s">
        <v>420</v>
      </c>
      <c r="B56" s="105">
        <v>2</v>
      </c>
      <c r="C56" s="105">
        <v>2.4</v>
      </c>
      <c r="D56" s="105">
        <v>0.45</v>
      </c>
      <c r="E56" s="105">
        <v>0.15</v>
      </c>
      <c r="F56" s="106">
        <v>0.3</v>
      </c>
      <c r="G56" s="106">
        <f t="shared" si="0"/>
        <v>0.97199999999999998</v>
      </c>
      <c r="H56" s="480">
        <f t="shared" si="1"/>
        <v>0.32400000000000001</v>
      </c>
      <c r="I56" s="480">
        <f t="shared" si="2"/>
        <v>0.64799999999999991</v>
      </c>
    </row>
    <row r="57" spans="1:9">
      <c r="A57" s="106" t="s">
        <v>421</v>
      </c>
      <c r="B57" s="105">
        <v>2</v>
      </c>
      <c r="C57" s="105">
        <v>2.4</v>
      </c>
      <c r="D57" s="105">
        <v>0.45</v>
      </c>
      <c r="E57" s="105">
        <v>0.15</v>
      </c>
      <c r="F57" s="106">
        <v>0.3</v>
      </c>
      <c r="G57" s="106">
        <f t="shared" si="0"/>
        <v>0.97199999999999998</v>
      </c>
      <c r="H57" s="480">
        <f t="shared" si="1"/>
        <v>0.32400000000000001</v>
      </c>
      <c r="I57" s="480">
        <f t="shared" si="2"/>
        <v>0.64799999999999991</v>
      </c>
    </row>
    <row r="58" spans="1:9">
      <c r="A58" s="106" t="s">
        <v>423</v>
      </c>
      <c r="B58" s="105">
        <v>2</v>
      </c>
      <c r="C58" s="105">
        <v>2.4</v>
      </c>
      <c r="D58" s="105">
        <v>0.45</v>
      </c>
      <c r="E58" s="105">
        <v>0.15</v>
      </c>
      <c r="F58" s="106">
        <v>0.3</v>
      </c>
      <c r="G58" s="106">
        <f t="shared" si="0"/>
        <v>0.97199999999999998</v>
      </c>
      <c r="H58" s="480">
        <f t="shared" si="1"/>
        <v>0.32400000000000001</v>
      </c>
      <c r="I58" s="480">
        <f t="shared" si="2"/>
        <v>0.64799999999999991</v>
      </c>
    </row>
    <row r="59" spans="1:9">
      <c r="A59" s="106" t="s">
        <v>424</v>
      </c>
      <c r="B59" s="105">
        <v>2</v>
      </c>
      <c r="C59" s="105">
        <v>2.38</v>
      </c>
      <c r="D59" s="105">
        <v>0.45</v>
      </c>
      <c r="E59" s="105">
        <v>0.15</v>
      </c>
      <c r="F59" s="106">
        <v>0.3</v>
      </c>
      <c r="G59" s="106">
        <f t="shared" si="0"/>
        <v>0.96389999999999987</v>
      </c>
      <c r="H59" s="480">
        <f t="shared" si="1"/>
        <v>0.32129999999999997</v>
      </c>
      <c r="I59" s="480">
        <f t="shared" si="2"/>
        <v>0.64259999999999984</v>
      </c>
    </row>
    <row r="60" spans="1:9">
      <c r="A60" s="106" t="s">
        <v>406</v>
      </c>
      <c r="B60" s="106">
        <v>1</v>
      </c>
      <c r="C60" s="106">
        <v>30.77</v>
      </c>
      <c r="D60" s="106">
        <v>0.45</v>
      </c>
      <c r="E60" s="106">
        <v>0.15</v>
      </c>
      <c r="F60" s="106">
        <v>0.3</v>
      </c>
      <c r="G60" s="106">
        <f t="shared" si="0"/>
        <v>6.230925</v>
      </c>
      <c r="H60" s="480">
        <f t="shared" si="1"/>
        <v>2.076975</v>
      </c>
      <c r="I60" s="480">
        <f t="shared" si="2"/>
        <v>4.15395</v>
      </c>
    </row>
    <row r="61" spans="1:9">
      <c r="A61" s="106" t="s">
        <v>407</v>
      </c>
      <c r="B61" s="105">
        <v>1</v>
      </c>
      <c r="C61" s="105">
        <v>30.61</v>
      </c>
      <c r="D61" s="105">
        <v>0.45</v>
      </c>
      <c r="E61" s="105">
        <v>0.15</v>
      </c>
      <c r="F61" s="106">
        <v>0.3</v>
      </c>
      <c r="G61" s="106">
        <f t="shared" si="0"/>
        <v>6.1985249999999992</v>
      </c>
      <c r="H61" s="480">
        <f t="shared" si="1"/>
        <v>2.0661749999999999</v>
      </c>
      <c r="I61" s="480">
        <f t="shared" si="2"/>
        <v>4.1323499999999989</v>
      </c>
    </row>
    <row r="62" spans="1:9">
      <c r="A62" s="106" t="s">
        <v>408</v>
      </c>
      <c r="B62" s="105">
        <v>1</v>
      </c>
      <c r="C62" s="105">
        <v>21.99</v>
      </c>
      <c r="D62" s="105">
        <v>0.45</v>
      </c>
      <c r="E62" s="105">
        <v>0.15</v>
      </c>
      <c r="F62" s="106">
        <v>0.3</v>
      </c>
      <c r="G62" s="106">
        <f t="shared" si="0"/>
        <v>4.4529749999999995</v>
      </c>
      <c r="H62" s="480">
        <f t="shared" si="1"/>
        <v>1.4843249999999999</v>
      </c>
      <c r="I62" s="480">
        <f t="shared" si="2"/>
        <v>2.9686499999999993</v>
      </c>
    </row>
    <row r="63" spans="1:9">
      <c r="A63" s="106" t="s">
        <v>409</v>
      </c>
      <c r="B63" s="105">
        <v>1</v>
      </c>
      <c r="C63" s="105">
        <v>21.99</v>
      </c>
      <c r="D63" s="105">
        <v>0.45</v>
      </c>
      <c r="E63" s="105">
        <v>0.15</v>
      </c>
      <c r="F63" s="106">
        <v>0.3</v>
      </c>
      <c r="G63" s="106">
        <f t="shared" si="0"/>
        <v>4.4529749999999995</v>
      </c>
      <c r="H63" s="480">
        <f t="shared" si="1"/>
        <v>1.4843249999999999</v>
      </c>
      <c r="I63" s="480">
        <f t="shared" si="2"/>
        <v>2.9686499999999993</v>
      </c>
    </row>
    <row r="64" spans="1:9">
      <c r="A64" s="108" t="s">
        <v>342</v>
      </c>
      <c r="B64" s="109"/>
      <c r="C64" s="110">
        <f>SUM(C6:C63)</f>
        <v>521.4599999999997</v>
      </c>
      <c r="D64" s="110"/>
      <c r="E64" s="110"/>
      <c r="F64" s="110"/>
      <c r="G64" s="105">
        <f>SUM(G6:G63)</f>
        <v>119.42684999999992</v>
      </c>
      <c r="H64" s="106">
        <f t="shared" ref="H64:I64" si="3">SUM(H6:H63)</f>
        <v>37.82115000000001</v>
      </c>
      <c r="I64" s="106">
        <f t="shared" si="3"/>
        <v>81.605699999999985</v>
      </c>
    </row>
  </sheetData>
  <mergeCells count="3">
    <mergeCell ref="A3:A5"/>
    <mergeCell ref="B3:B5"/>
    <mergeCell ref="A1:G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sqref="A1:A2"/>
    </sheetView>
  </sheetViews>
  <sheetFormatPr defaultRowHeight="12.75"/>
  <cols>
    <col min="1" max="1" width="45.7109375" bestFit="1" customWidth="1"/>
    <col min="2" max="2" width="9.5703125" style="248" bestFit="1" customWidth="1"/>
    <col min="8" max="9" width="8.85546875" style="248"/>
  </cols>
  <sheetData>
    <row r="1" spans="1:10">
      <c r="A1" s="1003" t="s">
        <v>1322</v>
      </c>
      <c r="B1" s="391" t="s">
        <v>1125</v>
      </c>
      <c r="E1" s="4" t="s">
        <v>2064</v>
      </c>
      <c r="H1" s="248">
        <f>'PLANILHA ORÇAMENTARIA'!D61</f>
        <v>219.09900000000002</v>
      </c>
      <c r="I1" s="393" t="s">
        <v>2067</v>
      </c>
    </row>
    <row r="2" spans="1:10">
      <c r="A2" s="1070"/>
      <c r="B2" s="391" t="s">
        <v>2051</v>
      </c>
      <c r="E2" s="4" t="s">
        <v>2065</v>
      </c>
      <c r="H2" s="248">
        <f>'PLANILHA ORÇAMENTARIA'!D77</f>
        <v>245.4</v>
      </c>
      <c r="I2" s="393" t="s">
        <v>2067</v>
      </c>
    </row>
    <row r="3" spans="1:10">
      <c r="A3" s="222" t="s">
        <v>2054</v>
      </c>
      <c r="B3" s="392">
        <v>17</v>
      </c>
    </row>
    <row r="4" spans="1:10">
      <c r="A4" s="214" t="s">
        <v>2040</v>
      </c>
      <c r="B4" s="392">
        <v>15.7</v>
      </c>
      <c r="E4" s="1071" t="s">
        <v>2059</v>
      </c>
      <c r="F4" s="1072"/>
      <c r="G4" s="1073"/>
      <c r="H4" s="391" t="s">
        <v>2062</v>
      </c>
      <c r="I4" s="391" t="s">
        <v>2063</v>
      </c>
      <c r="J4" s="388" t="s">
        <v>105</v>
      </c>
    </row>
    <row r="5" spans="1:10">
      <c r="A5" s="214" t="s">
        <v>2041</v>
      </c>
      <c r="B5" s="392">
        <v>7</v>
      </c>
      <c r="E5" s="1074"/>
      <c r="F5" s="1075"/>
      <c r="G5" s="1076"/>
      <c r="H5" s="391" t="s">
        <v>2066</v>
      </c>
      <c r="I5" s="391" t="s">
        <v>2066</v>
      </c>
      <c r="J5" s="388" t="s">
        <v>2066</v>
      </c>
    </row>
    <row r="6" spans="1:10">
      <c r="A6" s="214" t="s">
        <v>2042</v>
      </c>
      <c r="B6" s="392">
        <v>7.5</v>
      </c>
      <c r="E6" s="222" t="s">
        <v>2055</v>
      </c>
      <c r="F6" s="214">
        <v>344</v>
      </c>
      <c r="G6" s="222" t="s">
        <v>2060</v>
      </c>
      <c r="H6" s="392">
        <f>F6*$H$1/1000</f>
        <v>75.370056000000005</v>
      </c>
      <c r="I6" s="392">
        <f>F6*$H$2/1000</f>
        <v>84.417600000000007</v>
      </c>
      <c r="J6" s="392">
        <f>H6+I6</f>
        <v>159.78765600000003</v>
      </c>
    </row>
    <row r="7" spans="1:10">
      <c r="A7" s="214" t="s">
        <v>2043</v>
      </c>
      <c r="B7" s="392">
        <v>14</v>
      </c>
      <c r="E7" s="222" t="s">
        <v>2056</v>
      </c>
      <c r="F7" s="214">
        <v>1108</v>
      </c>
      <c r="G7" s="222" t="s">
        <v>2060</v>
      </c>
      <c r="H7" s="392">
        <f t="shared" ref="H7:H9" si="0">F7*$H$1/1000</f>
        <v>242.76169200000001</v>
      </c>
      <c r="I7" s="392">
        <f t="shared" ref="I7:I9" si="1">F7*$H$2/1000</f>
        <v>271.90320000000003</v>
      </c>
      <c r="J7" s="392">
        <f t="shared" ref="J7:J9" si="2">H7+I7</f>
        <v>514.66489200000001</v>
      </c>
    </row>
    <row r="8" spans="1:10">
      <c r="A8" s="214" t="s">
        <v>2044</v>
      </c>
      <c r="B8" s="392">
        <v>4.5</v>
      </c>
      <c r="E8" s="222" t="s">
        <v>2057</v>
      </c>
      <c r="F8" s="214">
        <v>728</v>
      </c>
      <c r="G8" s="222" t="s">
        <v>2060</v>
      </c>
      <c r="H8" s="392">
        <f t="shared" si="0"/>
        <v>159.50407200000001</v>
      </c>
      <c r="I8" s="392">
        <f t="shared" si="1"/>
        <v>178.65120000000002</v>
      </c>
      <c r="J8" s="392">
        <f t="shared" si="2"/>
        <v>338.15527200000002</v>
      </c>
    </row>
    <row r="9" spans="1:10">
      <c r="A9" s="214" t="s">
        <v>2045</v>
      </c>
      <c r="B9" s="392">
        <v>0.57999999999999996</v>
      </c>
      <c r="E9" s="222" t="s">
        <v>2058</v>
      </c>
      <c r="F9" s="214">
        <v>210</v>
      </c>
      <c r="G9" s="222" t="s">
        <v>2061</v>
      </c>
      <c r="H9" s="392">
        <f t="shared" si="0"/>
        <v>46.01079</v>
      </c>
      <c r="I9" s="392">
        <f t="shared" si="1"/>
        <v>51.533999999999999</v>
      </c>
      <c r="J9" s="392">
        <f t="shared" si="2"/>
        <v>97.544790000000006</v>
      </c>
    </row>
    <row r="10" spans="1:10">
      <c r="A10" s="214" t="s">
        <v>2046</v>
      </c>
      <c r="B10" s="392">
        <v>0.25</v>
      </c>
    </row>
    <row r="11" spans="1:10">
      <c r="A11" s="214" t="s">
        <v>2047</v>
      </c>
      <c r="B11" s="392">
        <v>0.1</v>
      </c>
    </row>
    <row r="12" spans="1:10">
      <c r="A12" s="214" t="s">
        <v>2048</v>
      </c>
      <c r="B12" s="392">
        <v>0.1</v>
      </c>
      <c r="E12" s="4"/>
    </row>
    <row r="13" spans="1:10" ht="25.5">
      <c r="A13" s="387" t="s">
        <v>2049</v>
      </c>
      <c r="B13" s="394">
        <v>0.25</v>
      </c>
      <c r="E13" s="4"/>
    </row>
    <row r="14" spans="1:10">
      <c r="A14" s="222" t="s">
        <v>2050</v>
      </c>
      <c r="B14" s="392">
        <f>SUM(B3:B13)</f>
        <v>66.97999999999999</v>
      </c>
      <c r="E14" s="4"/>
    </row>
    <row r="15" spans="1:10">
      <c r="E15" s="4"/>
    </row>
    <row r="17" spans="1:2">
      <c r="A17" s="284"/>
    </row>
    <row r="19" spans="1:2">
      <c r="A19" s="1003" t="s">
        <v>2053</v>
      </c>
      <c r="B19" s="391" t="s">
        <v>1125</v>
      </c>
    </row>
    <row r="20" spans="1:2">
      <c r="A20" s="1070"/>
      <c r="B20" s="391" t="s">
        <v>2051</v>
      </c>
    </row>
    <row r="21" spans="1:2">
      <c r="A21" s="222" t="s">
        <v>2069</v>
      </c>
      <c r="B21" s="392">
        <f>J6/2</f>
        <v>79.893828000000013</v>
      </c>
    </row>
    <row r="22" spans="1:2">
      <c r="A22" s="222" t="s">
        <v>2068</v>
      </c>
      <c r="B22" s="392">
        <f>J8</f>
        <v>338.15527200000002</v>
      </c>
    </row>
    <row r="23" spans="1:2">
      <c r="A23" s="222" t="s">
        <v>2034</v>
      </c>
      <c r="B23" s="392">
        <f>('PLANILHA ORÇAMENTARIA'!D56+'PLANILHA ORÇAMENTARIA'!D57+'PLANILHA ORÇAMENTARIA'!D58+'PLANILHA ORÇAMENTARIA'!D59)/1000</f>
        <v>17.463236703000003</v>
      </c>
    </row>
    <row r="24" spans="1:2">
      <c r="A24" s="222" t="s">
        <v>2070</v>
      </c>
      <c r="B24" s="392">
        <f>('PLANILHA ORÇAMENTARIA'!D68+'PLANILHA ORÇAMENTARIA'!D69+'PLANILHA ORÇAMENTARIA'!D70+'PLANILHA ORÇAMENTARIA'!D71+'PLANILHA ORÇAMENTARIA'!D72+'PLANILHA ORÇAMENTARIA'!D73+'PLANILHA ORÇAMENTARIA'!D74+'PLANILHA ORÇAMENTARIA'!D75+'PLANILHA ORÇAMENTARIA'!D76)/1000</f>
        <v>21.626313401000001</v>
      </c>
    </row>
    <row r="25" spans="1:2">
      <c r="A25" s="222" t="s">
        <v>2071</v>
      </c>
      <c r="B25" s="392">
        <f>('PLANILHA ORÇAMENTARIA'!D81)/1000</f>
        <v>22.204999999999998</v>
      </c>
    </row>
    <row r="26" spans="1:2">
      <c r="A26" s="222" t="s">
        <v>2072</v>
      </c>
      <c r="B26" s="392">
        <f>'PLANILHA ORÇAMENTARIA'!D82*6/1000</f>
        <v>14.784180000000001</v>
      </c>
    </row>
    <row r="27" spans="1:2">
      <c r="A27" s="222" t="s">
        <v>2073</v>
      </c>
      <c r="B27" s="392">
        <f>(258.4+128.2+77.5+106+48+70)/1000</f>
        <v>0.68809999999999993</v>
      </c>
    </row>
    <row r="28" spans="1:2">
      <c r="A28" s="214" t="s">
        <v>1259</v>
      </c>
      <c r="B28" s="392">
        <f>'PLANILHA ORÇAMENTARIA'!D92*0.116/1000</f>
        <v>0.12249600000000001</v>
      </c>
    </row>
    <row r="29" spans="1:2">
      <c r="A29" s="214" t="s">
        <v>1407</v>
      </c>
      <c r="B29" s="392">
        <f>'PLANILHA ORÇAMENTARIA'!D104*9.2/1000</f>
        <v>3.9057385599999983</v>
      </c>
    </row>
    <row r="30" spans="1:2">
      <c r="A30" s="214" t="s">
        <v>2074</v>
      </c>
      <c r="B30" s="392">
        <f>'PLANILHA ORÇAMENTARIA'!D112*2.25/1000</f>
        <v>0.61699634999999997</v>
      </c>
    </row>
    <row r="31" spans="1:2">
      <c r="A31" s="222" t="s">
        <v>2075</v>
      </c>
      <c r="B31" s="392">
        <f>'PLANILHA ORÇAMENTARIA'!D117*13.5/1000</f>
        <v>1.7152830000000001</v>
      </c>
    </row>
    <row r="32" spans="1:2">
      <c r="A32" s="214" t="s">
        <v>2076</v>
      </c>
      <c r="B32" s="392">
        <f>'PLANILHA ORÇAMENTARIA'!D118*22/1000</f>
        <v>21.879336599999998</v>
      </c>
    </row>
    <row r="33" spans="1:4">
      <c r="A33" s="214" t="s">
        <v>2080</v>
      </c>
      <c r="B33" s="392">
        <f>'PLANILHA ORÇAMENTARIA'!D127*2*32/50/1000</f>
        <v>3.7120810239999997</v>
      </c>
    </row>
    <row r="34" spans="1:4">
      <c r="A34" s="214" t="s">
        <v>2081</v>
      </c>
      <c r="B34" s="392">
        <f>'PLANILHA ORÇAMENTARIA'!D128*32/100/1000</f>
        <v>0.9799808000000001</v>
      </c>
    </row>
    <row r="35" spans="1:4">
      <c r="A35" s="214" t="s">
        <v>2082</v>
      </c>
      <c r="B35" s="392">
        <f>'PLANILHA ORÇAMENTARIA'!D129*2*32/250/1000</f>
        <v>0.78398464000000001</v>
      </c>
    </row>
    <row r="36" spans="1:4">
      <c r="A36" s="214" t="s">
        <v>2083</v>
      </c>
      <c r="B36" s="392">
        <f>('PLANILHA ORÇAMENTARIA'!D130+'PLANILHA ORÇAMENTARIA'!D130)*2*32/50/1000</f>
        <v>6.5577728000000004</v>
      </c>
    </row>
    <row r="37" spans="1:4">
      <c r="A37" s="222" t="s">
        <v>2084</v>
      </c>
      <c r="B37" s="392">
        <f>'PLANILHA ORÇAMENTARIA'!D133*32/40/1000</f>
        <v>0.8448</v>
      </c>
    </row>
    <row r="38" spans="1:4">
      <c r="A38" s="222" t="s">
        <v>18</v>
      </c>
      <c r="B38" s="392">
        <v>5</v>
      </c>
    </row>
    <row r="39" spans="1:4">
      <c r="A39" s="222" t="s">
        <v>19</v>
      </c>
      <c r="B39" s="392">
        <f>('PLANILHA ORÇAMENTARIA'!D148+'PLANILHA ORÇAMENTARIA'!D149)*10/1000</f>
        <v>0.98016199999999976</v>
      </c>
    </row>
    <row r="40" spans="1:4">
      <c r="A40" s="222" t="s">
        <v>2077</v>
      </c>
      <c r="B40" s="392">
        <v>10</v>
      </c>
      <c r="D40" s="248"/>
    </row>
    <row r="41" spans="1:4">
      <c r="A41" s="222" t="s">
        <v>2078</v>
      </c>
      <c r="B41" s="392">
        <v>5</v>
      </c>
    </row>
    <row r="42" spans="1:4">
      <c r="A42" s="222" t="s">
        <v>27</v>
      </c>
      <c r="B42" s="392">
        <v>1.8</v>
      </c>
    </row>
    <row r="43" spans="1:4">
      <c r="A43" s="222" t="s">
        <v>1231</v>
      </c>
      <c r="B43" s="392">
        <v>0.5</v>
      </c>
    </row>
    <row r="44" spans="1:4">
      <c r="A44" s="222" t="s">
        <v>2079</v>
      </c>
      <c r="B44" s="392">
        <v>2</v>
      </c>
    </row>
    <row r="45" spans="1:4">
      <c r="A45" s="214"/>
      <c r="B45" s="392"/>
    </row>
    <row r="46" spans="1:4">
      <c r="A46" s="395">
        <v>0.1</v>
      </c>
      <c r="B46" s="396">
        <f>SUM(B21:B44)*0.1</f>
        <v>56.121456187799993</v>
      </c>
    </row>
    <row r="47" spans="1:4">
      <c r="A47" s="222" t="s">
        <v>2050</v>
      </c>
      <c r="B47" s="392">
        <f>SUM(B21:B46)</f>
        <v>617.33601806579986</v>
      </c>
    </row>
  </sheetData>
  <mergeCells count="3">
    <mergeCell ref="A1:A2"/>
    <mergeCell ref="A19:A20"/>
    <mergeCell ref="E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workbookViewId="0"/>
  </sheetViews>
  <sheetFormatPr defaultRowHeight="12.75"/>
  <cols>
    <col min="3" max="3" width="27.85546875" customWidth="1"/>
    <col min="7" max="8" width="8.28515625" customWidth="1"/>
    <col min="10" max="10" width="10.28515625" bestFit="1" customWidth="1"/>
    <col min="11" max="11" width="11.42578125" style="267" customWidth="1"/>
    <col min="12" max="12" width="15.7109375" style="269" bestFit="1" customWidth="1"/>
    <col min="13" max="13" width="14.5703125" style="269" bestFit="1" customWidth="1"/>
    <col min="14" max="14" width="17.28515625" style="267" customWidth="1"/>
  </cols>
  <sheetData>
    <row r="1" spans="1:14" ht="15">
      <c r="A1" s="260" t="s">
        <v>1512</v>
      </c>
    </row>
    <row r="2" spans="1:14" ht="15">
      <c r="A2" s="260"/>
    </row>
    <row r="3" spans="1:14" ht="15.75" thickBot="1">
      <c r="A3" s="261"/>
    </row>
    <row r="4" spans="1:14" ht="26.25" thickBot="1">
      <c r="A4" s="174" t="s">
        <v>526</v>
      </c>
      <c r="B4" s="257" t="s">
        <v>507</v>
      </c>
      <c r="C4" s="257" t="s">
        <v>491</v>
      </c>
      <c r="D4" s="257"/>
      <c r="E4" s="257"/>
      <c r="F4" s="257"/>
      <c r="G4" s="175"/>
      <c r="H4" s="175"/>
      <c r="I4" s="262" t="s">
        <v>492</v>
      </c>
      <c r="J4" s="262" t="s">
        <v>1494</v>
      </c>
      <c r="K4" s="262" t="s">
        <v>1495</v>
      </c>
      <c r="L4" s="268" t="s">
        <v>1496</v>
      </c>
      <c r="M4" s="268" t="s">
        <v>1497</v>
      </c>
      <c r="N4" s="275" t="s">
        <v>1499</v>
      </c>
    </row>
    <row r="5" spans="1:14" s="88" customFormat="1" ht="18" customHeight="1">
      <c r="A5" s="277" t="s">
        <v>20</v>
      </c>
      <c r="B5" s="271"/>
      <c r="C5" s="271"/>
      <c r="D5" s="271"/>
      <c r="E5" s="271"/>
      <c r="F5" s="271"/>
      <c r="G5" s="272"/>
      <c r="H5" s="272"/>
      <c r="I5" s="271"/>
      <c r="J5" s="263"/>
      <c r="K5" s="263"/>
      <c r="L5" s="273"/>
      <c r="M5" s="273"/>
      <c r="N5" s="274"/>
    </row>
    <row r="6" spans="1:14" ht="26.25" customHeight="1">
      <c r="A6" s="168" t="s">
        <v>626</v>
      </c>
      <c r="B6" s="254" t="s">
        <v>627</v>
      </c>
      <c r="C6" s="1077" t="s">
        <v>628</v>
      </c>
      <c r="D6" s="1077"/>
      <c r="E6" s="1077"/>
      <c r="F6" s="1077"/>
      <c r="G6" s="1077"/>
      <c r="H6" s="252"/>
      <c r="I6" s="254" t="s">
        <v>16</v>
      </c>
      <c r="J6" s="264">
        <f>M.CALCULO!D81</f>
        <v>22205</v>
      </c>
      <c r="K6" s="265">
        <f>J6*J7</f>
        <v>2664.6</v>
      </c>
      <c r="L6" s="269">
        <v>21</v>
      </c>
      <c r="M6" s="270">
        <f>K6/L6</f>
        <v>126.88571428571429</v>
      </c>
      <c r="N6" s="265">
        <f>M6/8</f>
        <v>15.860714285714286</v>
      </c>
    </row>
    <row r="7" spans="1:14">
      <c r="B7" s="253">
        <v>6110</v>
      </c>
      <c r="C7" s="253" t="s">
        <v>631</v>
      </c>
      <c r="I7" s="170" t="s">
        <v>112</v>
      </c>
      <c r="J7" s="170">
        <v>0.12</v>
      </c>
      <c r="K7" s="265"/>
      <c r="M7" s="270"/>
      <c r="N7" s="265"/>
    </row>
    <row r="8" spans="1:14" ht="23.25" customHeight="1">
      <c r="A8" s="168" t="s">
        <v>1160</v>
      </c>
      <c r="B8" s="254" t="s">
        <v>1071</v>
      </c>
      <c r="C8" s="1081" t="s">
        <v>1428</v>
      </c>
      <c r="D8" s="1081"/>
      <c r="E8" s="1081"/>
      <c r="F8" s="1081"/>
      <c r="G8" s="1081"/>
      <c r="H8" s="256"/>
      <c r="I8" s="254" t="s">
        <v>13</v>
      </c>
      <c r="J8" s="265">
        <f>M.CALCULO!D82</f>
        <v>2464.0300000000002</v>
      </c>
      <c r="K8" s="265">
        <f>J8*J9</f>
        <v>542.08660000000009</v>
      </c>
      <c r="L8" s="269">
        <v>7</v>
      </c>
      <c r="M8" s="270">
        <f>K8/L8</f>
        <v>77.440942857142872</v>
      </c>
      <c r="N8" s="265">
        <f>M8/8</f>
        <v>9.680117857142859</v>
      </c>
    </row>
    <row r="9" spans="1:14">
      <c r="B9" s="253">
        <v>12869</v>
      </c>
      <c r="C9" s="253" t="s">
        <v>666</v>
      </c>
      <c r="I9" s="170" t="s">
        <v>112</v>
      </c>
      <c r="J9" s="170">
        <v>0.22</v>
      </c>
      <c r="K9" s="265"/>
      <c r="M9" s="270"/>
      <c r="N9" s="265"/>
    </row>
    <row r="10" spans="1:14">
      <c r="A10" s="246" t="s">
        <v>1454</v>
      </c>
      <c r="B10" s="247" t="s">
        <v>1453</v>
      </c>
      <c r="C10" s="1082" t="s">
        <v>1455</v>
      </c>
      <c r="D10" s="1082"/>
      <c r="E10" s="1082"/>
      <c r="F10" s="1082"/>
      <c r="G10" s="1082"/>
      <c r="H10" s="255"/>
      <c r="I10" s="247" t="s">
        <v>13</v>
      </c>
      <c r="J10" s="265">
        <f>M.CALCULO!D85</f>
        <v>97.6</v>
      </c>
      <c r="K10" s="265">
        <f t="shared" ref="K10" si="0">J10*J11</f>
        <v>21.471999999999998</v>
      </c>
      <c r="L10" s="269">
        <v>7</v>
      </c>
      <c r="M10" s="270">
        <f t="shared" ref="M10" si="1">K10/L10</f>
        <v>3.0674285714285712</v>
      </c>
      <c r="N10" s="265">
        <f t="shared" ref="N10" si="2">M10/8</f>
        <v>0.3834285714285714</v>
      </c>
    </row>
    <row r="11" spans="1:14">
      <c r="B11" s="244">
        <v>12869</v>
      </c>
      <c r="C11" s="244" t="s">
        <v>666</v>
      </c>
      <c r="I11" s="245" t="s">
        <v>112</v>
      </c>
      <c r="J11" s="245">
        <v>0.22</v>
      </c>
    </row>
    <row r="12" spans="1:14">
      <c r="L12" s="1085" t="s">
        <v>1498</v>
      </c>
      <c r="M12" s="1085"/>
      <c r="N12" s="276">
        <f>SUM(N6:N10)</f>
        <v>25.924260714285715</v>
      </c>
    </row>
    <row r="13" spans="1:14" ht="13.5" thickBot="1"/>
    <row r="14" spans="1:14" ht="26.25" thickBot="1">
      <c r="A14" s="174" t="s">
        <v>526</v>
      </c>
      <c r="B14" s="292" t="s">
        <v>507</v>
      </c>
      <c r="C14" s="292" t="s">
        <v>491</v>
      </c>
      <c r="D14" s="292"/>
      <c r="E14" s="292"/>
      <c r="F14" s="292"/>
      <c r="G14" s="175"/>
      <c r="H14" s="175"/>
      <c r="I14" s="262" t="s">
        <v>492</v>
      </c>
      <c r="J14" s="262" t="s">
        <v>1494</v>
      </c>
      <c r="K14" s="262" t="s">
        <v>1495</v>
      </c>
      <c r="L14" s="268" t="s">
        <v>1513</v>
      </c>
      <c r="M14" s="297" t="s">
        <v>1499</v>
      </c>
      <c r="N14" s="296"/>
    </row>
    <row r="15" spans="1:14">
      <c r="A15" s="266" t="s">
        <v>1515</v>
      </c>
    </row>
    <row r="16" spans="1:14">
      <c r="A16" s="284" t="s">
        <v>1507</v>
      </c>
    </row>
    <row r="17" spans="1:11" ht="15">
      <c r="A17" s="168" t="s">
        <v>1161</v>
      </c>
      <c r="B17" s="254" t="s">
        <v>1072</v>
      </c>
      <c r="C17" s="1077" t="s">
        <v>948</v>
      </c>
      <c r="D17" s="1077"/>
      <c r="E17" s="1077"/>
      <c r="F17" s="1077"/>
      <c r="G17" s="1077"/>
      <c r="H17" s="169"/>
      <c r="I17" s="254" t="s">
        <v>16</v>
      </c>
      <c r="J17" s="264">
        <f>M.CALCULO!D162</f>
        <v>21</v>
      </c>
      <c r="K17" s="265">
        <f>J17*J18</f>
        <v>19.040699999999998</v>
      </c>
    </row>
    <row r="18" spans="1:11" ht="22.5">
      <c r="B18" s="253">
        <v>2436</v>
      </c>
      <c r="C18" s="253" t="s">
        <v>513</v>
      </c>
      <c r="I18" s="170" t="s">
        <v>112</v>
      </c>
      <c r="J18" s="170">
        <v>0.90669999999999995</v>
      </c>
      <c r="K18" s="265"/>
    </row>
    <row r="19" spans="1:11" ht="15">
      <c r="A19" s="168" t="s">
        <v>1162</v>
      </c>
      <c r="B19" s="254">
        <v>73542</v>
      </c>
      <c r="C19" s="1077" t="s">
        <v>950</v>
      </c>
      <c r="D19" s="1077"/>
      <c r="E19" s="1077"/>
      <c r="F19" s="1077"/>
      <c r="G19" s="1077"/>
      <c r="H19" s="169"/>
      <c r="I19" s="254" t="s">
        <v>553</v>
      </c>
      <c r="J19" s="264">
        <f>M.CALCULO!D163</f>
        <v>80</v>
      </c>
      <c r="K19" s="265">
        <f>J19*J20</f>
        <v>0.8</v>
      </c>
    </row>
    <row r="20" spans="1:11" ht="22.5">
      <c r="B20" s="253">
        <v>2436</v>
      </c>
      <c r="C20" s="253" t="s">
        <v>513</v>
      </c>
      <c r="I20" s="170" t="s">
        <v>112</v>
      </c>
      <c r="J20" s="170">
        <v>0.01</v>
      </c>
      <c r="K20" s="265"/>
    </row>
    <row r="21" spans="1:11" ht="23.25" customHeight="1">
      <c r="A21" s="168" t="s">
        <v>1163</v>
      </c>
      <c r="B21" s="254" t="s">
        <v>429</v>
      </c>
      <c r="C21" s="1077" t="s">
        <v>952</v>
      </c>
      <c r="D21" s="1077"/>
      <c r="E21" s="1077"/>
      <c r="F21" s="1077"/>
      <c r="G21" s="1077"/>
      <c r="H21" s="169"/>
      <c r="I21" s="254" t="s">
        <v>15</v>
      </c>
      <c r="J21" s="264">
        <f>M.CALCULO!D164</f>
        <v>477</v>
      </c>
      <c r="K21" s="265">
        <f>J21*J22</f>
        <v>23.85</v>
      </c>
    </row>
    <row r="22" spans="1:11" ht="22.5">
      <c r="B22" s="253">
        <v>2436</v>
      </c>
      <c r="C22" s="253" t="s">
        <v>513</v>
      </c>
      <c r="I22" s="170" t="s">
        <v>112</v>
      </c>
      <c r="J22" s="170">
        <v>0.05</v>
      </c>
      <c r="K22" s="265"/>
    </row>
    <row r="23" spans="1:11" ht="27" customHeight="1">
      <c r="A23" s="279" t="s">
        <v>1164</v>
      </c>
      <c r="B23" s="278" t="s">
        <v>429</v>
      </c>
      <c r="C23" s="1083" t="s">
        <v>1500</v>
      </c>
      <c r="D23" s="1083"/>
      <c r="E23" s="1083"/>
      <c r="F23" s="1083"/>
      <c r="G23" s="1083"/>
      <c r="I23" s="251" t="s">
        <v>15</v>
      </c>
      <c r="J23" s="295">
        <v>911</v>
      </c>
      <c r="K23" s="265">
        <f>J23*J24</f>
        <v>45.550000000000004</v>
      </c>
    </row>
    <row r="24" spans="1:11" ht="22.5">
      <c r="B24" s="253">
        <v>2436</v>
      </c>
      <c r="C24" s="253" t="s">
        <v>513</v>
      </c>
      <c r="I24" s="170" t="s">
        <v>112</v>
      </c>
      <c r="J24" s="170">
        <v>0.05</v>
      </c>
      <c r="K24" s="265"/>
    </row>
    <row r="25" spans="1:11" ht="30.75" customHeight="1">
      <c r="A25" s="279" t="s">
        <v>1165</v>
      </c>
      <c r="B25" s="278" t="s">
        <v>429</v>
      </c>
      <c r="C25" s="1086" t="s">
        <v>1501</v>
      </c>
      <c r="D25" s="1086"/>
      <c r="E25" s="1086"/>
      <c r="F25" s="1086"/>
      <c r="G25" s="1086"/>
      <c r="I25" s="251" t="s">
        <v>15</v>
      </c>
      <c r="J25" s="280">
        <f>M.CALCULO!D166</f>
        <v>1576</v>
      </c>
      <c r="K25" s="265">
        <f>J25*J26</f>
        <v>78.800000000000011</v>
      </c>
    </row>
    <row r="26" spans="1:11" ht="22.5">
      <c r="B26" s="253">
        <v>2436</v>
      </c>
      <c r="C26" s="253" t="s">
        <v>513</v>
      </c>
      <c r="I26" s="170" t="s">
        <v>112</v>
      </c>
      <c r="J26" s="170">
        <v>0.05</v>
      </c>
      <c r="K26" s="265"/>
    </row>
    <row r="27" spans="1:11" ht="24.75" customHeight="1">
      <c r="A27" s="279" t="s">
        <v>1166</v>
      </c>
      <c r="B27" s="278" t="s">
        <v>429</v>
      </c>
      <c r="C27" s="1086" t="s">
        <v>1502</v>
      </c>
      <c r="D27" s="1086"/>
      <c r="E27" s="1086"/>
      <c r="F27" s="1086"/>
      <c r="G27" s="1086"/>
      <c r="I27" s="251" t="s">
        <v>15</v>
      </c>
      <c r="J27" s="280">
        <f>M.CALCULO!D167</f>
        <v>2576</v>
      </c>
      <c r="K27" s="265">
        <f t="shared" ref="K27" si="3">J27*J28</f>
        <v>128.80000000000001</v>
      </c>
    </row>
    <row r="28" spans="1:11" ht="22.5">
      <c r="B28" s="253">
        <v>2436</v>
      </c>
      <c r="C28" s="253" t="s">
        <v>513</v>
      </c>
      <c r="I28" s="170" t="s">
        <v>112</v>
      </c>
      <c r="J28" s="170">
        <v>0.05</v>
      </c>
      <c r="K28" s="265"/>
    </row>
    <row r="29" spans="1:11" ht="24" customHeight="1">
      <c r="A29" s="168" t="s">
        <v>1167</v>
      </c>
      <c r="B29" s="254" t="s">
        <v>430</v>
      </c>
      <c r="C29" s="1077" t="s">
        <v>955</v>
      </c>
      <c r="D29" s="1077"/>
      <c r="E29" s="1077"/>
      <c r="F29" s="1077"/>
      <c r="G29" s="1077"/>
      <c r="H29" s="254"/>
      <c r="I29" s="254" t="s">
        <v>15</v>
      </c>
      <c r="J29" s="265">
        <f>M.CALCULO!D168</f>
        <v>626</v>
      </c>
      <c r="K29" s="265">
        <f>J29*J30</f>
        <v>38.186</v>
      </c>
    </row>
    <row r="30" spans="1:11" ht="22.5">
      <c r="B30" s="253">
        <v>2436</v>
      </c>
      <c r="C30" s="253" t="s">
        <v>513</v>
      </c>
      <c r="I30" s="170" t="s">
        <v>112</v>
      </c>
      <c r="J30" s="170">
        <v>6.0999999999999999E-2</v>
      </c>
      <c r="K30" s="265"/>
    </row>
    <row r="31" spans="1:11" ht="27.75" customHeight="1">
      <c r="A31" s="168" t="s">
        <v>1168</v>
      </c>
      <c r="B31" s="258" t="s">
        <v>430</v>
      </c>
      <c r="C31" s="1078" t="s">
        <v>1503</v>
      </c>
      <c r="D31" s="1078"/>
      <c r="E31" s="1078"/>
      <c r="F31" s="1078"/>
      <c r="G31" s="1078"/>
      <c r="I31" s="258" t="s">
        <v>15</v>
      </c>
      <c r="J31" s="264">
        <f>M.CALCULO!D169</f>
        <v>313</v>
      </c>
      <c r="K31" s="265">
        <f t="shared" ref="K31:K93" si="4">J31*J32</f>
        <v>19.093</v>
      </c>
    </row>
    <row r="32" spans="1:11" ht="22.5">
      <c r="B32" s="259">
        <v>2436</v>
      </c>
      <c r="C32" s="259" t="s">
        <v>513</v>
      </c>
      <c r="I32" s="170" t="s">
        <v>112</v>
      </c>
      <c r="J32" s="170">
        <v>6.0999999999999999E-2</v>
      </c>
      <c r="K32" s="265"/>
    </row>
    <row r="33" spans="1:11" ht="22.5" customHeight="1">
      <c r="A33" s="168" t="s">
        <v>1169</v>
      </c>
      <c r="B33" s="258" t="s">
        <v>482</v>
      </c>
      <c r="C33" s="1077" t="s">
        <v>957</v>
      </c>
      <c r="D33" s="1077"/>
      <c r="E33" s="1077"/>
      <c r="F33" s="1077"/>
      <c r="G33" s="1077"/>
      <c r="H33" s="258"/>
      <c r="I33" s="258" t="s">
        <v>15</v>
      </c>
      <c r="J33" s="264">
        <f>M.CALCULO!D170</f>
        <v>14</v>
      </c>
      <c r="K33" s="265">
        <f t="shared" si="4"/>
        <v>0.98000000000000009</v>
      </c>
    </row>
    <row r="34" spans="1:11" ht="22.5">
      <c r="B34" s="259">
        <v>2436</v>
      </c>
      <c r="C34" s="259" t="s">
        <v>513</v>
      </c>
      <c r="I34" s="170" t="s">
        <v>112</v>
      </c>
      <c r="J34" s="170">
        <v>7.0000000000000007E-2</v>
      </c>
      <c r="K34" s="265"/>
    </row>
    <row r="35" spans="1:11" ht="27" customHeight="1">
      <c r="A35" s="168" t="s">
        <v>1170</v>
      </c>
      <c r="B35" s="258" t="s">
        <v>482</v>
      </c>
      <c r="C35" s="1080" t="s">
        <v>1504</v>
      </c>
      <c r="D35" s="1080"/>
      <c r="E35" s="1080"/>
      <c r="F35" s="1080"/>
      <c r="G35" s="1080"/>
      <c r="I35" s="258" t="s">
        <v>15</v>
      </c>
      <c r="J35" s="264">
        <f>M.CALCULO!D171</f>
        <v>7</v>
      </c>
      <c r="K35" s="265">
        <f t="shared" si="4"/>
        <v>0.49000000000000005</v>
      </c>
    </row>
    <row r="36" spans="1:11" ht="22.5">
      <c r="B36" s="259">
        <v>2436</v>
      </c>
      <c r="C36" s="259" t="s">
        <v>513</v>
      </c>
      <c r="I36" s="170" t="s">
        <v>112</v>
      </c>
      <c r="J36" s="170">
        <v>7.0000000000000007E-2</v>
      </c>
      <c r="K36" s="265"/>
    </row>
    <row r="37" spans="1:11" ht="15">
      <c r="A37" s="168" t="s">
        <v>1171</v>
      </c>
      <c r="B37" s="258" t="s">
        <v>1073</v>
      </c>
      <c r="C37" s="1077" t="s">
        <v>959</v>
      </c>
      <c r="D37" s="1077"/>
      <c r="E37" s="1077"/>
      <c r="F37" s="1077"/>
      <c r="G37" s="1077"/>
      <c r="H37" s="169"/>
      <c r="I37" s="258" t="s">
        <v>14</v>
      </c>
      <c r="J37" s="264">
        <f>M.CALCULO!D172</f>
        <v>122</v>
      </c>
      <c r="K37" s="265">
        <f t="shared" si="4"/>
        <v>18.3</v>
      </c>
    </row>
    <row r="38" spans="1:11" ht="22.5">
      <c r="B38" s="259">
        <v>2436</v>
      </c>
      <c r="C38" s="259" t="s">
        <v>513</v>
      </c>
      <c r="I38" s="170" t="s">
        <v>112</v>
      </c>
      <c r="J38" s="170">
        <v>0.15</v>
      </c>
      <c r="K38" s="265"/>
    </row>
    <row r="39" spans="1:11">
      <c r="A39" s="168" t="s">
        <v>1172</v>
      </c>
      <c r="B39" s="258" t="s">
        <v>1074</v>
      </c>
      <c r="C39" s="1077" t="s">
        <v>961</v>
      </c>
      <c r="D39" s="1077"/>
      <c r="E39" s="1077"/>
      <c r="F39" s="1077"/>
      <c r="G39" s="1077"/>
      <c r="H39" s="258"/>
      <c r="I39" s="258" t="s">
        <v>14</v>
      </c>
      <c r="J39" s="264">
        <f>M.CALCULO!D173</f>
        <v>4</v>
      </c>
      <c r="K39" s="265">
        <f t="shared" si="4"/>
        <v>0.6</v>
      </c>
    </row>
    <row r="40" spans="1:11" ht="22.5">
      <c r="B40" s="259">
        <v>2436</v>
      </c>
      <c r="C40" s="259" t="s">
        <v>513</v>
      </c>
      <c r="I40" s="170" t="s">
        <v>112</v>
      </c>
      <c r="J40" s="170">
        <v>0.15</v>
      </c>
      <c r="K40" s="265"/>
    </row>
    <row r="41" spans="1:11">
      <c r="A41" s="168" t="s">
        <v>1173</v>
      </c>
      <c r="B41" s="258" t="s">
        <v>1075</v>
      </c>
      <c r="C41" s="1077" t="s">
        <v>963</v>
      </c>
      <c r="D41" s="1077"/>
      <c r="E41" s="1077"/>
      <c r="F41" s="1077"/>
      <c r="G41" s="1077"/>
      <c r="H41" s="258"/>
      <c r="I41" s="258" t="s">
        <v>14</v>
      </c>
      <c r="J41" s="265">
        <f>M.CALCULO!D174</f>
        <v>75</v>
      </c>
      <c r="K41" s="265">
        <f t="shared" si="4"/>
        <v>11.25</v>
      </c>
    </row>
    <row r="42" spans="1:11" ht="22.5">
      <c r="B42" s="259">
        <v>2436</v>
      </c>
      <c r="C42" s="259" t="s">
        <v>513</v>
      </c>
      <c r="I42" s="170" t="s">
        <v>112</v>
      </c>
      <c r="J42" s="170">
        <v>0.15</v>
      </c>
      <c r="K42" s="265"/>
    </row>
    <row r="43" spans="1:11">
      <c r="A43" s="168" t="s">
        <v>1174</v>
      </c>
      <c r="B43" s="258" t="s">
        <v>1076</v>
      </c>
      <c r="C43" s="1077" t="s">
        <v>965</v>
      </c>
      <c r="D43" s="1077"/>
      <c r="E43" s="1077"/>
      <c r="F43" s="1077"/>
      <c r="G43" s="1077"/>
      <c r="H43" s="258"/>
      <c r="I43" s="258" t="s">
        <v>14</v>
      </c>
      <c r="J43" s="265">
        <f>M.CALCULO!D175</f>
        <v>14</v>
      </c>
      <c r="K43" s="265">
        <f t="shared" si="4"/>
        <v>1.4000000000000001</v>
      </c>
    </row>
    <row r="44" spans="1:11" ht="22.5">
      <c r="B44" s="259">
        <v>2436</v>
      </c>
      <c r="C44" s="259" t="s">
        <v>513</v>
      </c>
      <c r="I44" s="170" t="s">
        <v>112</v>
      </c>
      <c r="J44" s="170">
        <v>0.1</v>
      </c>
      <c r="K44" s="265"/>
    </row>
    <row r="45" spans="1:11" ht="23.25" customHeight="1">
      <c r="A45" s="168" t="s">
        <v>1175</v>
      </c>
      <c r="B45" s="258" t="s">
        <v>1457</v>
      </c>
      <c r="C45" s="1077" t="s">
        <v>452</v>
      </c>
      <c r="D45" s="1077"/>
      <c r="E45" s="1077"/>
      <c r="F45" s="1077"/>
      <c r="G45" s="1077"/>
      <c r="H45" s="258"/>
      <c r="I45" s="258" t="s">
        <v>14</v>
      </c>
      <c r="J45" s="265">
        <f>M.CALCULO!D176</f>
        <v>2</v>
      </c>
      <c r="K45" s="265">
        <f t="shared" si="4"/>
        <v>0.3</v>
      </c>
    </row>
    <row r="46" spans="1:11" ht="22.5">
      <c r="B46" s="259">
        <v>2436</v>
      </c>
      <c r="C46" s="259" t="s">
        <v>513</v>
      </c>
      <c r="I46" s="170" t="s">
        <v>112</v>
      </c>
      <c r="J46" s="170">
        <v>0.15</v>
      </c>
      <c r="K46" s="265"/>
    </row>
    <row r="47" spans="1:11" ht="21" customHeight="1">
      <c r="A47" s="168" t="s">
        <v>1176</v>
      </c>
      <c r="B47" s="258" t="s">
        <v>1457</v>
      </c>
      <c r="C47" s="1078" t="s">
        <v>450</v>
      </c>
      <c r="D47" s="1078"/>
      <c r="E47" s="1078"/>
      <c r="F47" s="1078"/>
      <c r="G47" s="1078"/>
      <c r="I47" s="258" t="s">
        <v>14</v>
      </c>
      <c r="J47" s="264">
        <f>M.CALCULO!D177</f>
        <v>4</v>
      </c>
      <c r="K47" s="265">
        <f t="shared" si="4"/>
        <v>0.6</v>
      </c>
    </row>
    <row r="48" spans="1:11" ht="22.5">
      <c r="B48" s="259">
        <v>2436</v>
      </c>
      <c r="C48" s="259" t="s">
        <v>513</v>
      </c>
      <c r="I48" s="170" t="s">
        <v>112</v>
      </c>
      <c r="J48" s="170">
        <v>0.15</v>
      </c>
      <c r="K48" s="265"/>
    </row>
    <row r="49" spans="1:11" ht="22.5" customHeight="1">
      <c r="A49" s="168" t="s">
        <v>1177</v>
      </c>
      <c r="B49" s="258" t="s">
        <v>1457</v>
      </c>
      <c r="C49" s="1080" t="s">
        <v>451</v>
      </c>
      <c r="D49" s="1080"/>
      <c r="E49" s="1080"/>
      <c r="F49" s="1080"/>
      <c r="G49" s="1080"/>
      <c r="I49" s="258" t="s">
        <v>14</v>
      </c>
      <c r="J49" s="264">
        <f>M.CALCULO!D178</f>
        <v>3</v>
      </c>
      <c r="K49" s="265">
        <f t="shared" si="4"/>
        <v>0.44999999999999996</v>
      </c>
    </row>
    <row r="50" spans="1:11" ht="22.5">
      <c r="B50" s="259">
        <v>2436</v>
      </c>
      <c r="C50" s="259" t="s">
        <v>513</v>
      </c>
      <c r="I50" s="170" t="s">
        <v>112</v>
      </c>
      <c r="J50" s="170">
        <v>0.15</v>
      </c>
      <c r="K50" s="265"/>
    </row>
    <row r="51" spans="1:11" ht="22.5" customHeight="1">
      <c r="A51" s="168" t="s">
        <v>1178</v>
      </c>
      <c r="B51" s="258" t="s">
        <v>1457</v>
      </c>
      <c r="C51" s="1080" t="s">
        <v>452</v>
      </c>
      <c r="D51" s="1080"/>
      <c r="E51" s="1080"/>
      <c r="F51" s="1080"/>
      <c r="G51" s="1080"/>
      <c r="I51" s="258" t="s">
        <v>14</v>
      </c>
      <c r="J51" s="264">
        <f>M.CALCULO!D179</f>
        <v>22</v>
      </c>
      <c r="K51" s="265">
        <f t="shared" si="4"/>
        <v>3.3</v>
      </c>
    </row>
    <row r="52" spans="1:11" ht="22.5">
      <c r="B52" s="259">
        <v>2436</v>
      </c>
      <c r="C52" s="259" t="s">
        <v>513</v>
      </c>
      <c r="I52" s="170" t="s">
        <v>112</v>
      </c>
      <c r="J52" s="170">
        <v>0.15</v>
      </c>
      <c r="K52" s="265"/>
    </row>
    <row r="53" spans="1:11">
      <c r="A53" s="168" t="s">
        <v>1179</v>
      </c>
      <c r="B53" s="258" t="s">
        <v>1453</v>
      </c>
      <c r="C53" s="1077" t="s">
        <v>453</v>
      </c>
      <c r="D53" s="1077"/>
      <c r="E53" s="1077"/>
      <c r="F53" s="1077"/>
      <c r="G53" s="1077"/>
      <c r="H53" s="258"/>
      <c r="I53" s="258" t="s">
        <v>14</v>
      </c>
      <c r="J53" s="264">
        <f>M.CALCULO!D180</f>
        <v>2</v>
      </c>
      <c r="K53" s="265">
        <f t="shared" si="4"/>
        <v>0.3</v>
      </c>
    </row>
    <row r="54" spans="1:11" ht="22.5">
      <c r="B54" s="259">
        <v>2436</v>
      </c>
      <c r="C54" s="259" t="s">
        <v>513</v>
      </c>
      <c r="I54" s="170" t="s">
        <v>112</v>
      </c>
      <c r="J54" s="170">
        <v>0.15</v>
      </c>
      <c r="K54" s="265"/>
    </row>
    <row r="55" spans="1:11">
      <c r="A55" s="168" t="s">
        <v>1180</v>
      </c>
      <c r="B55" s="258" t="s">
        <v>1460</v>
      </c>
      <c r="C55" s="1077" t="s">
        <v>454</v>
      </c>
      <c r="D55" s="1077"/>
      <c r="E55" s="1077"/>
      <c r="F55" s="1077"/>
      <c r="G55" s="1077"/>
      <c r="H55" s="258"/>
      <c r="I55" s="258" t="s">
        <v>14</v>
      </c>
      <c r="J55" s="264">
        <f>M.CALCULO!D181</f>
        <v>7</v>
      </c>
      <c r="K55" s="265">
        <f t="shared" si="4"/>
        <v>1.05</v>
      </c>
    </row>
    <row r="56" spans="1:11" ht="22.5">
      <c r="B56" s="259">
        <v>2436</v>
      </c>
      <c r="C56" s="259" t="s">
        <v>513</v>
      </c>
      <c r="I56" s="170" t="s">
        <v>112</v>
      </c>
      <c r="J56" s="170">
        <v>0.15</v>
      </c>
      <c r="K56" s="265"/>
    </row>
    <row r="57" spans="1:11">
      <c r="A57" s="168" t="s">
        <v>1181</v>
      </c>
      <c r="B57" s="258" t="s">
        <v>1462</v>
      </c>
      <c r="C57" s="1077" t="s">
        <v>455</v>
      </c>
      <c r="D57" s="1077"/>
      <c r="E57" s="1077"/>
      <c r="F57" s="1077"/>
      <c r="G57" s="1077"/>
      <c r="H57" s="258"/>
      <c r="I57" s="258" t="s">
        <v>14</v>
      </c>
      <c r="J57" s="282">
        <f>M.CALCULO!D182</f>
        <v>1</v>
      </c>
      <c r="K57" s="265">
        <f t="shared" si="4"/>
        <v>0.15</v>
      </c>
    </row>
    <row r="58" spans="1:11" ht="22.5">
      <c r="B58" s="259">
        <v>2436</v>
      </c>
      <c r="C58" s="259" t="s">
        <v>513</v>
      </c>
      <c r="I58" s="170" t="s">
        <v>112</v>
      </c>
      <c r="J58" s="170">
        <v>0.15</v>
      </c>
      <c r="K58" s="265"/>
    </row>
    <row r="59" spans="1:11">
      <c r="A59" s="168" t="s">
        <v>1182</v>
      </c>
      <c r="B59" s="258" t="s">
        <v>431</v>
      </c>
      <c r="C59" s="1077" t="s">
        <v>967</v>
      </c>
      <c r="D59" s="1077"/>
      <c r="E59" s="1077"/>
      <c r="F59" s="1077"/>
      <c r="G59" s="1077"/>
      <c r="H59" s="258"/>
      <c r="I59" s="258" t="s">
        <v>14</v>
      </c>
      <c r="J59" s="264">
        <f>M.CALCULO!D183</f>
        <v>2</v>
      </c>
      <c r="K59" s="265">
        <f t="shared" si="4"/>
        <v>0.8</v>
      </c>
    </row>
    <row r="60" spans="1:11" ht="22.5">
      <c r="B60" s="259">
        <v>2436</v>
      </c>
      <c r="C60" s="259" t="s">
        <v>513</v>
      </c>
      <c r="I60" s="170" t="s">
        <v>112</v>
      </c>
      <c r="J60" s="170">
        <v>0.4</v>
      </c>
      <c r="K60" s="265"/>
    </row>
    <row r="61" spans="1:11" ht="21.75" customHeight="1">
      <c r="A61" s="168" t="s">
        <v>1183</v>
      </c>
      <c r="B61" s="258" t="s">
        <v>432</v>
      </c>
      <c r="C61" s="1077" t="s">
        <v>969</v>
      </c>
      <c r="D61" s="1077"/>
      <c r="E61" s="1077"/>
      <c r="F61" s="1077"/>
      <c r="G61" s="1077"/>
      <c r="H61" s="258"/>
      <c r="I61" s="258" t="s">
        <v>14</v>
      </c>
      <c r="J61" s="265">
        <f>M.CALCULO!D184</f>
        <v>2</v>
      </c>
      <c r="K61" s="265">
        <f t="shared" si="4"/>
        <v>0.8</v>
      </c>
    </row>
    <row r="62" spans="1:11" ht="22.5">
      <c r="B62" s="259">
        <v>2436</v>
      </c>
      <c r="C62" s="259" t="s">
        <v>513</v>
      </c>
      <c r="I62" s="170" t="s">
        <v>112</v>
      </c>
      <c r="J62" s="170">
        <v>0.4</v>
      </c>
      <c r="K62" s="265"/>
    </row>
    <row r="63" spans="1:11">
      <c r="A63" s="168" t="s">
        <v>1184</v>
      </c>
      <c r="B63" s="258" t="s">
        <v>1077</v>
      </c>
      <c r="C63" s="1077" t="s">
        <v>971</v>
      </c>
      <c r="D63" s="1077"/>
      <c r="E63" s="1077"/>
      <c r="F63" s="1077"/>
      <c r="G63" s="1077"/>
      <c r="H63" s="258"/>
      <c r="I63" s="258" t="s">
        <v>15</v>
      </c>
      <c r="J63" s="264">
        <f>M.CALCULO!D185</f>
        <v>150</v>
      </c>
      <c r="K63" s="265">
        <f t="shared" si="4"/>
        <v>97.5</v>
      </c>
    </row>
    <row r="64" spans="1:11" ht="22.5">
      <c r="B64" s="259">
        <v>2436</v>
      </c>
      <c r="C64" s="259" t="s">
        <v>513</v>
      </c>
      <c r="I64" s="170" t="s">
        <v>112</v>
      </c>
      <c r="J64" s="170">
        <v>0.65</v>
      </c>
      <c r="K64" s="265"/>
    </row>
    <row r="65" spans="1:11">
      <c r="A65" s="168" t="s">
        <v>1185</v>
      </c>
      <c r="B65" s="258" t="s">
        <v>1078</v>
      </c>
      <c r="C65" s="1077" t="s">
        <v>973</v>
      </c>
      <c r="D65" s="1077"/>
      <c r="E65" s="1077"/>
      <c r="F65" s="1077"/>
      <c r="G65" s="1077"/>
      <c r="H65" s="258"/>
      <c r="I65" s="258" t="s">
        <v>15</v>
      </c>
      <c r="J65" s="264">
        <f>M.CALCULO!D186</f>
        <v>600</v>
      </c>
      <c r="K65" s="265">
        <f t="shared" si="4"/>
        <v>120</v>
      </c>
    </row>
    <row r="66" spans="1:11" ht="22.5">
      <c r="B66" s="259">
        <v>2436</v>
      </c>
      <c r="C66" s="259" t="s">
        <v>513</v>
      </c>
      <c r="I66" s="170" t="s">
        <v>112</v>
      </c>
      <c r="J66" s="170">
        <v>0.2</v>
      </c>
      <c r="K66" s="265"/>
    </row>
    <row r="67" spans="1:11">
      <c r="A67" s="168" t="s">
        <v>1186</v>
      </c>
      <c r="B67" s="258">
        <v>72934</v>
      </c>
      <c r="C67" s="1077" t="s">
        <v>976</v>
      </c>
      <c r="D67" s="1077"/>
      <c r="E67" s="1077"/>
      <c r="F67" s="1077"/>
      <c r="G67" s="1077"/>
      <c r="H67" s="258"/>
      <c r="I67" s="258" t="s">
        <v>15</v>
      </c>
      <c r="J67" s="283">
        <f>M.CALCULO!D187</f>
        <v>600</v>
      </c>
      <c r="K67" s="265">
        <f t="shared" si="4"/>
        <v>72</v>
      </c>
    </row>
    <row r="68" spans="1:11" ht="22.5">
      <c r="B68" s="259">
        <v>2436</v>
      </c>
      <c r="C68" s="259" t="s">
        <v>513</v>
      </c>
      <c r="I68" s="170" t="s">
        <v>112</v>
      </c>
      <c r="J68" s="170">
        <v>0.12</v>
      </c>
      <c r="K68" s="265"/>
    </row>
    <row r="69" spans="1:11">
      <c r="A69" s="168" t="s">
        <v>1187</v>
      </c>
      <c r="B69" s="258">
        <v>72935</v>
      </c>
      <c r="C69" s="1077" t="s">
        <v>977</v>
      </c>
      <c r="D69" s="1077"/>
      <c r="E69" s="1077"/>
      <c r="F69" s="1077"/>
      <c r="G69" s="1077"/>
      <c r="H69" s="258"/>
      <c r="I69" s="258" t="s">
        <v>15</v>
      </c>
      <c r="J69" s="283">
        <f>M.CALCULO!D188</f>
        <v>130</v>
      </c>
      <c r="K69" s="265">
        <f t="shared" si="4"/>
        <v>19.5</v>
      </c>
    </row>
    <row r="70" spans="1:11" ht="22.5">
      <c r="B70" s="259">
        <v>2436</v>
      </c>
      <c r="C70" s="259" t="s">
        <v>513</v>
      </c>
      <c r="I70" s="170" t="s">
        <v>112</v>
      </c>
      <c r="J70" s="170">
        <v>0.15</v>
      </c>
      <c r="K70" s="265"/>
    </row>
    <row r="71" spans="1:11" ht="15">
      <c r="A71" s="168" t="s">
        <v>1188</v>
      </c>
      <c r="B71" s="258">
        <v>68069</v>
      </c>
      <c r="C71" s="1077" t="s">
        <v>978</v>
      </c>
      <c r="D71" s="1077"/>
      <c r="E71" s="1077"/>
      <c r="F71" s="1077"/>
      <c r="G71" s="1077"/>
      <c r="H71" s="169"/>
      <c r="I71" s="258" t="s">
        <v>14</v>
      </c>
      <c r="J71" s="283">
        <f>M.CALCULO!D189</f>
        <v>5</v>
      </c>
      <c r="K71" s="265">
        <f t="shared" si="4"/>
        <v>2</v>
      </c>
    </row>
    <row r="72" spans="1:11" ht="22.5">
      <c r="B72" s="259">
        <v>2436</v>
      </c>
      <c r="C72" s="259" t="s">
        <v>513</v>
      </c>
      <c r="I72" s="170" t="s">
        <v>112</v>
      </c>
      <c r="J72" s="170">
        <v>0.4</v>
      </c>
      <c r="K72" s="265"/>
    </row>
    <row r="73" spans="1:11">
      <c r="A73" s="168" t="s">
        <v>1189</v>
      </c>
      <c r="B73" s="258">
        <v>72331</v>
      </c>
      <c r="C73" s="1077" t="s">
        <v>980</v>
      </c>
      <c r="D73" s="1077"/>
      <c r="E73" s="1077"/>
      <c r="F73" s="1077"/>
      <c r="G73" s="1077"/>
      <c r="H73" s="258"/>
      <c r="I73" s="258" t="s">
        <v>14</v>
      </c>
      <c r="J73" s="283">
        <f>M.CALCULO!D190</f>
        <v>13</v>
      </c>
      <c r="K73" s="265">
        <f t="shared" si="4"/>
        <v>3.25</v>
      </c>
    </row>
    <row r="74" spans="1:11" ht="22.5">
      <c r="B74" s="259">
        <v>2436</v>
      </c>
      <c r="C74" s="259" t="s">
        <v>513</v>
      </c>
      <c r="I74" s="170" t="s">
        <v>112</v>
      </c>
      <c r="J74" s="170">
        <v>0.25</v>
      </c>
      <c r="K74" s="265"/>
    </row>
    <row r="75" spans="1:11">
      <c r="A75" s="168" t="s">
        <v>1190</v>
      </c>
      <c r="B75" s="258">
        <v>72332</v>
      </c>
      <c r="C75" s="1077" t="s">
        <v>982</v>
      </c>
      <c r="D75" s="1077"/>
      <c r="E75" s="1077"/>
      <c r="F75" s="1077"/>
      <c r="G75" s="1077"/>
      <c r="H75" s="258"/>
      <c r="I75" s="258" t="s">
        <v>14</v>
      </c>
      <c r="J75" s="264">
        <f>M.CALCULO!D191</f>
        <v>5</v>
      </c>
      <c r="K75" s="265">
        <f t="shared" si="4"/>
        <v>1.5</v>
      </c>
    </row>
    <row r="76" spans="1:11" ht="22.5">
      <c r="B76" s="259">
        <v>2436</v>
      </c>
      <c r="C76" s="259" t="s">
        <v>513</v>
      </c>
      <c r="I76" s="170" t="s">
        <v>112</v>
      </c>
      <c r="J76" s="170">
        <v>0.3</v>
      </c>
      <c r="K76" s="265"/>
    </row>
    <row r="77" spans="1:11" ht="23.25" customHeight="1">
      <c r="A77" s="168" t="s">
        <v>1191</v>
      </c>
      <c r="B77" s="258" t="s">
        <v>433</v>
      </c>
      <c r="C77" s="1079" t="s">
        <v>1451</v>
      </c>
      <c r="D77" s="1079"/>
      <c r="E77" s="1079"/>
      <c r="F77" s="1079"/>
      <c r="G77" s="1079"/>
      <c r="H77" s="258"/>
      <c r="I77" s="258" t="s">
        <v>14</v>
      </c>
      <c r="J77" s="264">
        <f>M.CALCULO!D192</f>
        <v>62</v>
      </c>
      <c r="K77" s="265">
        <f t="shared" si="4"/>
        <v>62</v>
      </c>
    </row>
    <row r="78" spans="1:11" ht="22.5">
      <c r="B78" s="259">
        <v>2436</v>
      </c>
      <c r="C78" s="259" t="s">
        <v>513</v>
      </c>
      <c r="I78" s="170" t="s">
        <v>112</v>
      </c>
      <c r="J78" s="170">
        <v>1</v>
      </c>
      <c r="K78" s="265"/>
    </row>
    <row r="79" spans="1:11">
      <c r="A79" s="168" t="s">
        <v>1192</v>
      </c>
      <c r="B79" s="258" t="s">
        <v>1079</v>
      </c>
      <c r="C79" s="1077" t="s">
        <v>984</v>
      </c>
      <c r="D79" s="1077"/>
      <c r="E79" s="1077"/>
      <c r="F79" s="1077"/>
      <c r="G79" s="1077"/>
      <c r="H79" s="258"/>
      <c r="I79" s="258" t="s">
        <v>14</v>
      </c>
      <c r="J79" s="283">
        <f>M.CALCULO!D193</f>
        <v>13</v>
      </c>
      <c r="K79" s="265">
        <f t="shared" si="4"/>
        <v>6.5</v>
      </c>
    </row>
    <row r="80" spans="1:11" ht="22.5">
      <c r="B80" s="259">
        <v>2436</v>
      </c>
      <c r="C80" s="259" t="s">
        <v>513</v>
      </c>
      <c r="I80" s="170" t="s">
        <v>112</v>
      </c>
      <c r="J80" s="170">
        <v>0.5</v>
      </c>
      <c r="K80" s="265"/>
    </row>
    <row r="81" spans="1:11">
      <c r="A81" s="168" t="s">
        <v>1193</v>
      </c>
      <c r="B81" s="258" t="s">
        <v>1080</v>
      </c>
      <c r="C81" s="1077" t="s">
        <v>986</v>
      </c>
      <c r="D81" s="1077"/>
      <c r="E81" s="1077"/>
      <c r="F81" s="1077"/>
      <c r="G81" s="1077"/>
      <c r="H81" s="258"/>
      <c r="I81" s="258" t="s">
        <v>14</v>
      </c>
      <c r="J81" s="283">
        <f>M.CALCULO!D194</f>
        <v>6</v>
      </c>
      <c r="K81" s="265">
        <f t="shared" si="4"/>
        <v>6</v>
      </c>
    </row>
    <row r="82" spans="1:11" ht="22.5">
      <c r="B82" s="259">
        <v>2436</v>
      </c>
      <c r="C82" s="259" t="s">
        <v>513</v>
      </c>
      <c r="I82" s="170" t="s">
        <v>112</v>
      </c>
      <c r="J82" s="170">
        <v>1</v>
      </c>
      <c r="K82" s="265"/>
    </row>
    <row r="83" spans="1:11">
      <c r="A83" s="168" t="s">
        <v>1194</v>
      </c>
      <c r="B83" s="258" t="s">
        <v>1081</v>
      </c>
      <c r="C83" s="1077" t="s">
        <v>988</v>
      </c>
      <c r="D83" s="1077"/>
      <c r="E83" s="1077"/>
      <c r="F83" s="1077"/>
      <c r="G83" s="1077"/>
      <c r="H83" s="258"/>
      <c r="I83" s="258" t="s">
        <v>14</v>
      </c>
      <c r="J83" s="283">
        <f>M.CALCULO!D195</f>
        <v>20</v>
      </c>
      <c r="K83" s="265">
        <f t="shared" si="4"/>
        <v>40</v>
      </c>
    </row>
    <row r="84" spans="1:11" ht="22.5">
      <c r="B84" s="259">
        <v>2436</v>
      </c>
      <c r="C84" s="259" t="s">
        <v>513</v>
      </c>
      <c r="I84" s="170" t="s">
        <v>112</v>
      </c>
      <c r="J84" s="170">
        <v>2</v>
      </c>
      <c r="K84" s="265"/>
    </row>
    <row r="85" spans="1:11">
      <c r="A85" s="168" t="s">
        <v>1195</v>
      </c>
      <c r="B85" s="258" t="s">
        <v>1082</v>
      </c>
      <c r="C85" s="1077" t="s">
        <v>990</v>
      </c>
      <c r="D85" s="1077"/>
      <c r="E85" s="1077"/>
      <c r="F85" s="1077"/>
      <c r="G85" s="1077"/>
      <c r="H85" s="258"/>
      <c r="I85" s="258" t="s">
        <v>14</v>
      </c>
      <c r="J85" s="283">
        <f>M.CALCULO!D196</f>
        <v>11</v>
      </c>
      <c r="K85" s="265">
        <f t="shared" si="4"/>
        <v>11</v>
      </c>
    </row>
    <row r="86" spans="1:11" ht="22.5">
      <c r="B86" s="259">
        <v>2436</v>
      </c>
      <c r="C86" s="259" t="s">
        <v>513</v>
      </c>
      <c r="I86" s="170" t="s">
        <v>112</v>
      </c>
      <c r="J86" s="170">
        <v>1</v>
      </c>
      <c r="K86" s="265"/>
    </row>
    <row r="87" spans="1:11" ht="41.25" customHeight="1">
      <c r="A87" s="168" t="s">
        <v>1196</v>
      </c>
      <c r="B87" s="258" t="s">
        <v>483</v>
      </c>
      <c r="C87" s="1077" t="s">
        <v>992</v>
      </c>
      <c r="D87" s="1077"/>
      <c r="E87" s="1077"/>
      <c r="F87" s="1077"/>
      <c r="G87" s="1077"/>
      <c r="H87" s="258"/>
      <c r="I87" s="258" t="s">
        <v>14</v>
      </c>
      <c r="J87" s="264">
        <f>M.CALCULO!D197</f>
        <v>1</v>
      </c>
      <c r="K87" s="265">
        <f t="shared" si="4"/>
        <v>6</v>
      </c>
    </row>
    <row r="88" spans="1:11" ht="22.5">
      <c r="B88" s="259">
        <v>2436</v>
      </c>
      <c r="C88" s="259" t="s">
        <v>513</v>
      </c>
      <c r="I88" s="170" t="s">
        <v>112</v>
      </c>
      <c r="J88" s="170">
        <v>6</v>
      </c>
      <c r="K88" s="265"/>
    </row>
    <row r="89" spans="1:11" ht="30" customHeight="1">
      <c r="A89" s="168" t="s">
        <v>1197</v>
      </c>
      <c r="B89" s="258" t="s">
        <v>485</v>
      </c>
      <c r="C89" s="1077" t="s">
        <v>994</v>
      </c>
      <c r="D89" s="1077"/>
      <c r="E89" s="1077"/>
      <c r="F89" s="1077"/>
      <c r="G89" s="1077"/>
      <c r="H89" s="258"/>
      <c r="I89" s="258" t="s">
        <v>14</v>
      </c>
      <c r="J89" s="264">
        <f>M.CALCULO!D198</f>
        <v>1</v>
      </c>
      <c r="K89" s="265">
        <f t="shared" si="4"/>
        <v>6.5</v>
      </c>
    </row>
    <row r="90" spans="1:11" ht="22.5">
      <c r="B90" s="259">
        <v>2436</v>
      </c>
      <c r="C90" s="259" t="s">
        <v>513</v>
      </c>
      <c r="I90" s="170" t="s">
        <v>112</v>
      </c>
      <c r="J90" s="170">
        <v>6.5</v>
      </c>
      <c r="K90" s="265"/>
    </row>
    <row r="91" spans="1:11">
      <c r="A91" s="168" t="s">
        <v>1198</v>
      </c>
      <c r="B91" s="258" t="s">
        <v>1083</v>
      </c>
      <c r="C91" s="1077" t="s">
        <v>996</v>
      </c>
      <c r="D91" s="1077"/>
      <c r="E91" s="1077"/>
      <c r="F91" s="1077"/>
      <c r="G91" s="1077"/>
      <c r="H91" s="258"/>
      <c r="I91" s="258" t="s">
        <v>14</v>
      </c>
      <c r="J91" s="264">
        <f>M.CALCULO!D199</f>
        <v>72</v>
      </c>
      <c r="K91" s="265">
        <f t="shared" si="4"/>
        <v>20.88</v>
      </c>
    </row>
    <row r="92" spans="1:11" ht="22.5">
      <c r="B92" s="259">
        <v>2436</v>
      </c>
      <c r="C92" s="259" t="s">
        <v>513</v>
      </c>
      <c r="I92" s="170" t="s">
        <v>112</v>
      </c>
      <c r="J92" s="170">
        <v>0.28999999999999998</v>
      </c>
      <c r="K92" s="265"/>
    </row>
    <row r="93" spans="1:11" ht="15">
      <c r="A93" s="168" t="s">
        <v>1262</v>
      </c>
      <c r="B93" s="258" t="s">
        <v>1309</v>
      </c>
      <c r="C93" s="1077" t="s">
        <v>1025</v>
      </c>
      <c r="D93" s="1077"/>
      <c r="E93" s="1077"/>
      <c r="F93" s="1077"/>
      <c r="G93" s="1077"/>
      <c r="H93" s="169"/>
      <c r="I93" s="258" t="s">
        <v>15</v>
      </c>
      <c r="J93" s="283">
        <f>M.CALCULO!D200</f>
        <v>60</v>
      </c>
      <c r="K93" s="265">
        <f t="shared" si="4"/>
        <v>5.3999999999999995</v>
      </c>
    </row>
    <row r="94" spans="1:11" ht="22.5">
      <c r="B94" s="259">
        <v>2436</v>
      </c>
      <c r="C94" s="259" t="s">
        <v>513</v>
      </c>
      <c r="I94" s="170" t="s">
        <v>112</v>
      </c>
      <c r="J94" s="170">
        <v>0.09</v>
      </c>
      <c r="K94" s="265"/>
    </row>
    <row r="95" spans="1:11" ht="21.75" customHeight="1">
      <c r="A95" s="168" t="s">
        <v>1297</v>
      </c>
      <c r="B95" s="258" t="s">
        <v>1309</v>
      </c>
      <c r="C95" s="1078" t="s">
        <v>1505</v>
      </c>
      <c r="D95" s="1078"/>
      <c r="E95" s="1078"/>
      <c r="F95" s="1078"/>
      <c r="G95" s="1078"/>
      <c r="I95" s="258" t="s">
        <v>15</v>
      </c>
      <c r="J95" s="264">
        <f>M.CALCULO!D201</f>
        <v>20</v>
      </c>
      <c r="K95" s="265">
        <f t="shared" ref="K95:K154" si="5">J95*J96</f>
        <v>1.7999999999999998</v>
      </c>
    </row>
    <row r="96" spans="1:11" ht="22.5">
      <c r="A96" s="168"/>
      <c r="B96" s="259">
        <v>2436</v>
      </c>
      <c r="C96" s="259" t="s">
        <v>513</v>
      </c>
      <c r="I96" s="170" t="s">
        <v>112</v>
      </c>
      <c r="J96" s="170">
        <v>0.09</v>
      </c>
      <c r="K96" s="265"/>
    </row>
    <row r="97" spans="1:11" ht="22.5" customHeight="1">
      <c r="A97" s="168" t="s">
        <v>1299</v>
      </c>
      <c r="B97" s="258" t="s">
        <v>1309</v>
      </c>
      <c r="C97" s="1078" t="s">
        <v>1506</v>
      </c>
      <c r="D97" s="1078"/>
      <c r="E97" s="1078"/>
      <c r="F97" s="1078"/>
      <c r="G97" s="1078"/>
      <c r="I97" s="258" t="s">
        <v>15</v>
      </c>
      <c r="J97" s="264">
        <f>M.CALCULO!D202</f>
        <v>20</v>
      </c>
      <c r="K97" s="265">
        <f t="shared" si="5"/>
        <v>1.7999999999999998</v>
      </c>
    </row>
    <row r="98" spans="1:11" ht="22.5">
      <c r="A98" s="168"/>
      <c r="B98" s="259">
        <v>2436</v>
      </c>
      <c r="C98" s="259" t="s">
        <v>513</v>
      </c>
      <c r="I98" s="170" t="s">
        <v>112</v>
      </c>
      <c r="J98" s="170">
        <v>0.09</v>
      </c>
      <c r="K98" s="265"/>
    </row>
    <row r="99" spans="1:11">
      <c r="A99" s="168" t="s">
        <v>1263</v>
      </c>
      <c r="B99" s="258" t="s">
        <v>484</v>
      </c>
      <c r="C99" s="1077" t="s">
        <v>1006</v>
      </c>
      <c r="D99" s="1077"/>
      <c r="E99" s="1077"/>
      <c r="F99" s="1077"/>
      <c r="G99" s="1077"/>
      <c r="H99" s="258"/>
      <c r="I99" s="258" t="s">
        <v>14</v>
      </c>
      <c r="J99" s="283">
        <f>M.CALCULO!D203</f>
        <v>6</v>
      </c>
      <c r="K99" s="265">
        <f t="shared" si="5"/>
        <v>7.8000000000000007</v>
      </c>
    </row>
    <row r="100" spans="1:11" ht="22.5">
      <c r="B100" s="259">
        <v>2436</v>
      </c>
      <c r="C100" s="259" t="s">
        <v>513</v>
      </c>
      <c r="I100" s="170" t="s">
        <v>112</v>
      </c>
      <c r="J100" s="170">
        <v>1.3</v>
      </c>
      <c r="K100" s="265"/>
    </row>
    <row r="101" spans="1:11" ht="12.75" customHeight="1">
      <c r="A101" s="168" t="s">
        <v>1264</v>
      </c>
      <c r="B101" s="258" t="s">
        <v>1265</v>
      </c>
      <c r="C101" s="961" t="s">
        <v>1266</v>
      </c>
      <c r="D101" s="961"/>
      <c r="E101" s="961"/>
      <c r="F101" s="961"/>
      <c r="G101" s="961"/>
      <c r="H101" s="258"/>
      <c r="I101" s="258" t="s">
        <v>14</v>
      </c>
      <c r="J101" s="283">
        <f>M.CALCULO!D204</f>
        <v>4</v>
      </c>
      <c r="K101" s="265">
        <f t="shared" si="5"/>
        <v>1.2</v>
      </c>
    </row>
    <row r="102" spans="1:11" ht="22.5">
      <c r="B102" s="259">
        <v>2436</v>
      </c>
      <c r="C102" s="259" t="s">
        <v>513</v>
      </c>
      <c r="I102" s="170" t="s">
        <v>112</v>
      </c>
      <c r="J102" s="170">
        <v>0.3</v>
      </c>
      <c r="K102" s="265"/>
    </row>
    <row r="103" spans="1:11" ht="21.75" customHeight="1">
      <c r="A103" s="168" t="s">
        <v>1268</v>
      </c>
      <c r="B103" s="258" t="s">
        <v>1084</v>
      </c>
      <c r="C103" s="961" t="s">
        <v>1269</v>
      </c>
      <c r="D103" s="961"/>
      <c r="E103" s="961"/>
      <c r="F103" s="961"/>
      <c r="G103" s="961"/>
      <c r="H103" s="258"/>
      <c r="I103" s="258" t="s">
        <v>14</v>
      </c>
      <c r="J103" s="283">
        <f>M.CALCULO!D205</f>
        <v>120</v>
      </c>
      <c r="K103" s="265">
        <f t="shared" si="5"/>
        <v>36</v>
      </c>
    </row>
    <row r="104" spans="1:11" ht="22.5">
      <c r="B104" s="259">
        <v>2436</v>
      </c>
      <c r="C104" s="259" t="s">
        <v>513</v>
      </c>
      <c r="I104" s="170" t="s">
        <v>112</v>
      </c>
      <c r="J104" s="170">
        <v>0.3</v>
      </c>
      <c r="K104" s="265"/>
    </row>
    <row r="105" spans="1:11" ht="21.75" customHeight="1">
      <c r="A105" s="168" t="s">
        <v>1272</v>
      </c>
      <c r="B105" s="258" t="s">
        <v>1085</v>
      </c>
      <c r="C105" s="961" t="s">
        <v>1273</v>
      </c>
      <c r="D105" s="961"/>
      <c r="E105" s="961"/>
      <c r="F105" s="961"/>
      <c r="G105" s="961"/>
      <c r="H105" s="258"/>
      <c r="I105" s="258" t="s">
        <v>14</v>
      </c>
      <c r="J105" s="283">
        <f>M.CALCULO!D206</f>
        <v>20</v>
      </c>
      <c r="K105" s="265">
        <f t="shared" si="5"/>
        <v>9</v>
      </c>
    </row>
    <row r="106" spans="1:11" ht="22.5">
      <c r="B106" s="259">
        <v>2436</v>
      </c>
      <c r="C106" s="259" t="s">
        <v>513</v>
      </c>
      <c r="I106" s="170" t="s">
        <v>112</v>
      </c>
      <c r="J106" s="170">
        <v>0.45</v>
      </c>
      <c r="K106" s="265"/>
    </row>
    <row r="107" spans="1:11">
      <c r="A107" s="168" t="s">
        <v>1276</v>
      </c>
      <c r="B107" s="258" t="s">
        <v>1086</v>
      </c>
      <c r="C107" s="1077" t="s">
        <v>1277</v>
      </c>
      <c r="D107" s="1077"/>
      <c r="E107" s="1077"/>
      <c r="F107" s="1077"/>
      <c r="G107" s="1077"/>
      <c r="H107" s="258"/>
      <c r="I107" s="258" t="s">
        <v>14</v>
      </c>
      <c r="J107" s="283">
        <f>M.CALCULO!D207</f>
        <v>16</v>
      </c>
      <c r="K107" s="265">
        <f t="shared" si="5"/>
        <v>7.2</v>
      </c>
    </row>
    <row r="108" spans="1:11" ht="22.5">
      <c r="B108" s="259">
        <v>2436</v>
      </c>
      <c r="C108" s="259" t="s">
        <v>513</v>
      </c>
      <c r="I108" s="170" t="s">
        <v>112</v>
      </c>
      <c r="J108" s="170">
        <v>0.45</v>
      </c>
      <c r="K108" s="265"/>
    </row>
    <row r="109" spans="1:11" ht="31.5" customHeight="1">
      <c r="A109" s="168" t="s">
        <v>1279</v>
      </c>
      <c r="B109" s="258" t="s">
        <v>1280</v>
      </c>
      <c r="C109" s="1077" t="s">
        <v>1281</v>
      </c>
      <c r="D109" s="1077"/>
      <c r="E109" s="1077"/>
      <c r="F109" s="1077"/>
      <c r="G109" s="1077"/>
      <c r="H109" s="258"/>
      <c r="I109" s="258" t="s">
        <v>14</v>
      </c>
      <c r="J109" s="264">
        <f>M.CALCULO!D208</f>
        <v>1</v>
      </c>
      <c r="K109" s="265">
        <f t="shared" si="5"/>
        <v>0.35</v>
      </c>
    </row>
    <row r="110" spans="1:11" ht="22.5">
      <c r="B110" s="259">
        <v>2436</v>
      </c>
      <c r="C110" s="259" t="s">
        <v>513</v>
      </c>
      <c r="I110" s="170" t="s">
        <v>112</v>
      </c>
      <c r="J110" s="170">
        <v>0.35</v>
      </c>
      <c r="K110" s="265"/>
    </row>
    <row r="111" spans="1:11">
      <c r="A111" s="168" t="s">
        <v>1286</v>
      </c>
      <c r="B111" s="258" t="s">
        <v>1087</v>
      </c>
      <c r="C111" s="1077" t="s">
        <v>1287</v>
      </c>
      <c r="D111" s="1077"/>
      <c r="E111" s="1077"/>
      <c r="F111" s="1077"/>
      <c r="G111" s="1077"/>
      <c r="H111" s="258"/>
      <c r="I111" s="258" t="s">
        <v>14</v>
      </c>
      <c r="J111" s="283">
        <f>M.CALCULO!D209</f>
        <v>1</v>
      </c>
      <c r="K111" s="265">
        <f t="shared" si="5"/>
        <v>1.2</v>
      </c>
    </row>
    <row r="112" spans="1:11" ht="22.5">
      <c r="B112" s="259">
        <v>2436</v>
      </c>
      <c r="C112" s="259" t="s">
        <v>513</v>
      </c>
      <c r="I112" s="170" t="s">
        <v>112</v>
      </c>
      <c r="J112" s="170">
        <v>1.2</v>
      </c>
      <c r="K112" s="265"/>
    </row>
    <row r="113" spans="1:11">
      <c r="K113" s="265"/>
    </row>
    <row r="114" spans="1:11">
      <c r="A114" s="284" t="s">
        <v>428</v>
      </c>
      <c r="K114" s="265"/>
    </row>
    <row r="115" spans="1:11" ht="15">
      <c r="A115" s="168" t="s">
        <v>1199</v>
      </c>
      <c r="B115" s="258" t="s">
        <v>1088</v>
      </c>
      <c r="C115" s="1077" t="s">
        <v>948</v>
      </c>
      <c r="D115" s="1077"/>
      <c r="E115" s="1077"/>
      <c r="F115" s="1077"/>
      <c r="G115" s="1077"/>
      <c r="H115" s="169"/>
      <c r="I115" s="258" t="s">
        <v>16</v>
      </c>
      <c r="J115" s="285">
        <f>M.CALCULO!D213</f>
        <v>5</v>
      </c>
      <c r="K115" s="265">
        <f t="shared" si="5"/>
        <v>4.5335000000000001</v>
      </c>
    </row>
    <row r="116" spans="1:11" ht="22.5">
      <c r="B116" s="259">
        <v>2436</v>
      </c>
      <c r="C116" s="259" t="s">
        <v>513</v>
      </c>
      <c r="I116" s="170" t="s">
        <v>112</v>
      </c>
      <c r="J116" s="170">
        <v>0.90669999999999995</v>
      </c>
      <c r="K116" s="265"/>
    </row>
    <row r="117" spans="1:11" ht="15">
      <c r="A117" s="168" t="s">
        <v>1200</v>
      </c>
      <c r="B117" s="258" t="s">
        <v>1089</v>
      </c>
      <c r="C117" s="1077" t="s">
        <v>998</v>
      </c>
      <c r="D117" s="1077"/>
      <c r="E117" s="1077"/>
      <c r="F117" s="1077"/>
      <c r="G117" s="1077"/>
      <c r="H117" s="169"/>
      <c r="I117" s="258" t="s">
        <v>14</v>
      </c>
      <c r="J117" s="264">
        <f>M.CALCULO!D214</f>
        <v>2</v>
      </c>
      <c r="K117" s="265">
        <f t="shared" si="5"/>
        <v>1</v>
      </c>
    </row>
    <row r="118" spans="1:11" ht="22.5">
      <c r="B118" s="259">
        <v>2436</v>
      </c>
      <c r="C118" s="259" t="s">
        <v>513</v>
      </c>
      <c r="I118" s="170" t="s">
        <v>112</v>
      </c>
      <c r="J118" s="170">
        <v>0.5</v>
      </c>
      <c r="K118" s="265"/>
    </row>
    <row r="119" spans="1:11">
      <c r="A119" s="168" t="s">
        <v>1201</v>
      </c>
      <c r="B119" s="258" t="s">
        <v>1090</v>
      </c>
      <c r="C119" s="1077" t="s">
        <v>999</v>
      </c>
      <c r="D119" s="1077"/>
      <c r="E119" s="1077"/>
      <c r="F119" s="1077"/>
      <c r="G119" s="1077"/>
      <c r="H119" s="258"/>
      <c r="I119" s="258" t="s">
        <v>14</v>
      </c>
      <c r="J119" s="283">
        <f>M.CALCULO!D215</f>
        <v>6</v>
      </c>
      <c r="K119" s="265">
        <f t="shared" si="5"/>
        <v>0.06</v>
      </c>
    </row>
    <row r="120" spans="1:11" ht="22.5">
      <c r="B120" s="259">
        <v>2436</v>
      </c>
      <c r="C120" s="259" t="s">
        <v>513</v>
      </c>
      <c r="I120" s="170" t="s">
        <v>112</v>
      </c>
      <c r="J120" s="170">
        <v>0.01</v>
      </c>
      <c r="K120" s="265"/>
    </row>
    <row r="121" spans="1:11" ht="15">
      <c r="A121" s="168" t="s">
        <v>1202</v>
      </c>
      <c r="B121" s="258" t="s">
        <v>434</v>
      </c>
      <c r="C121" s="1077" t="s">
        <v>1001</v>
      </c>
      <c r="D121" s="1077"/>
      <c r="E121" s="1077"/>
      <c r="F121" s="1077"/>
      <c r="G121" s="1077"/>
      <c r="H121" s="169"/>
      <c r="I121" s="258" t="s">
        <v>15</v>
      </c>
      <c r="J121" s="283">
        <f>M.CALCULO!D216</f>
        <v>10</v>
      </c>
      <c r="K121" s="265">
        <f t="shared" si="5"/>
        <v>0.8</v>
      </c>
    </row>
    <row r="122" spans="1:11" ht="22.5">
      <c r="B122" s="259">
        <v>2436</v>
      </c>
      <c r="C122" s="259" t="s">
        <v>513</v>
      </c>
      <c r="I122" s="170" t="s">
        <v>112</v>
      </c>
      <c r="J122" s="170">
        <v>0.08</v>
      </c>
      <c r="K122" s="265"/>
    </row>
    <row r="123" spans="1:11" ht="20.25" customHeight="1">
      <c r="A123" s="168" t="s">
        <v>1203</v>
      </c>
      <c r="B123" s="258">
        <v>73688</v>
      </c>
      <c r="C123" s="1077" t="s">
        <v>1003</v>
      </c>
      <c r="D123" s="1077"/>
      <c r="E123" s="1077"/>
      <c r="F123" s="1077"/>
      <c r="G123" s="1077"/>
      <c r="H123" s="169"/>
      <c r="I123" s="258" t="s">
        <v>15</v>
      </c>
      <c r="J123" s="264">
        <f>M.CALCULO!D217</f>
        <v>100</v>
      </c>
      <c r="K123" s="265">
        <f t="shared" si="5"/>
        <v>15.5</v>
      </c>
    </row>
    <row r="124" spans="1:11" ht="22.5">
      <c r="B124" s="259">
        <v>2436</v>
      </c>
      <c r="C124" s="259" t="s">
        <v>513</v>
      </c>
      <c r="I124" s="170" t="s">
        <v>112</v>
      </c>
      <c r="J124" s="170">
        <v>0.155</v>
      </c>
      <c r="K124" s="265"/>
    </row>
    <row r="125" spans="1:11" ht="15">
      <c r="A125" s="168" t="s">
        <v>1204</v>
      </c>
      <c r="B125" s="258" t="s">
        <v>1091</v>
      </c>
      <c r="C125" s="1077" t="s">
        <v>1005</v>
      </c>
      <c r="D125" s="1077"/>
      <c r="E125" s="1077"/>
      <c r="F125" s="1077"/>
      <c r="G125" s="1077"/>
      <c r="H125" s="169"/>
      <c r="I125" s="258" t="s">
        <v>15</v>
      </c>
      <c r="J125" s="283">
        <f>M.CALCULO!D218</f>
        <v>1150</v>
      </c>
      <c r="K125" s="265">
        <f t="shared" si="5"/>
        <v>74.75</v>
      </c>
    </row>
    <row r="126" spans="1:11" ht="22.5">
      <c r="B126" s="259">
        <v>2436</v>
      </c>
      <c r="C126" s="259" t="s">
        <v>513</v>
      </c>
      <c r="I126" s="170" t="s">
        <v>112</v>
      </c>
      <c r="J126" s="170">
        <v>6.5000000000000002E-2</v>
      </c>
      <c r="K126" s="265"/>
    </row>
    <row r="127" spans="1:11">
      <c r="A127" s="168" t="s">
        <v>1205</v>
      </c>
      <c r="B127" s="258" t="s">
        <v>1092</v>
      </c>
      <c r="C127" s="1077" t="s">
        <v>959</v>
      </c>
      <c r="D127" s="1077"/>
      <c r="E127" s="1077"/>
      <c r="F127" s="1077"/>
      <c r="G127" s="1077"/>
      <c r="H127" s="258"/>
      <c r="I127" s="258" t="s">
        <v>14</v>
      </c>
      <c r="J127" s="283">
        <f>M.CALCULO!D219</f>
        <v>20</v>
      </c>
      <c r="K127" s="265">
        <f>J127*J128</f>
        <v>3</v>
      </c>
    </row>
    <row r="128" spans="1:11" ht="22.5">
      <c r="B128" s="259">
        <v>2436</v>
      </c>
      <c r="C128" s="259" t="s">
        <v>513</v>
      </c>
      <c r="I128" s="170" t="s">
        <v>112</v>
      </c>
      <c r="J128" s="170">
        <v>0.15</v>
      </c>
      <c r="K128" s="265"/>
    </row>
    <row r="129" spans="1:11">
      <c r="A129" s="168" t="s">
        <v>1206</v>
      </c>
      <c r="B129" s="258" t="s">
        <v>484</v>
      </c>
      <c r="C129" s="1077" t="s">
        <v>1006</v>
      </c>
      <c r="D129" s="1077"/>
      <c r="E129" s="1077"/>
      <c r="F129" s="1077"/>
      <c r="G129" s="1077"/>
      <c r="H129" s="258"/>
      <c r="I129" s="258" t="s">
        <v>14</v>
      </c>
      <c r="J129" s="283">
        <f>M.CALCULO!D220</f>
        <v>2</v>
      </c>
      <c r="K129" s="265">
        <f t="shared" si="5"/>
        <v>2.6</v>
      </c>
    </row>
    <row r="130" spans="1:11" ht="22.5">
      <c r="B130" s="259">
        <v>2436</v>
      </c>
      <c r="C130" s="259" t="s">
        <v>513</v>
      </c>
      <c r="I130" s="170" t="s">
        <v>112</v>
      </c>
      <c r="J130" s="170">
        <v>1.3</v>
      </c>
      <c r="K130" s="265"/>
    </row>
    <row r="131" spans="1:11">
      <c r="A131" s="168" t="s">
        <v>1208</v>
      </c>
      <c r="B131" s="258" t="s">
        <v>496</v>
      </c>
      <c r="C131" s="1077" t="s">
        <v>1016</v>
      </c>
      <c r="D131" s="1077"/>
      <c r="E131" s="1077"/>
      <c r="F131" s="1077"/>
      <c r="G131" s="1077"/>
      <c r="H131" s="258"/>
      <c r="I131" s="258" t="s">
        <v>14</v>
      </c>
      <c r="J131" s="283">
        <f>M.CALCULO!D223</f>
        <v>1</v>
      </c>
      <c r="K131" s="265">
        <f t="shared" si="5"/>
        <v>2.25</v>
      </c>
    </row>
    <row r="132" spans="1:11" ht="22.5">
      <c r="B132" s="259">
        <v>2436</v>
      </c>
      <c r="C132" s="259" t="s">
        <v>513</v>
      </c>
      <c r="I132" s="170" t="s">
        <v>112</v>
      </c>
      <c r="J132" s="170">
        <v>2.25</v>
      </c>
      <c r="K132" s="265"/>
    </row>
    <row r="133" spans="1:11">
      <c r="A133" s="168" t="s">
        <v>1210</v>
      </c>
      <c r="B133" s="258" t="s">
        <v>1094</v>
      </c>
      <c r="C133" s="1077" t="s">
        <v>1018</v>
      </c>
      <c r="D133" s="1077"/>
      <c r="E133" s="1077"/>
      <c r="F133" s="1077"/>
      <c r="G133" s="1077"/>
      <c r="H133" s="258"/>
      <c r="I133" s="258" t="s">
        <v>14</v>
      </c>
      <c r="J133" s="283">
        <f>M.CALCULO!D225</f>
        <v>35</v>
      </c>
      <c r="K133" s="265">
        <f t="shared" si="5"/>
        <v>1.75</v>
      </c>
    </row>
    <row r="134" spans="1:11" ht="22.5">
      <c r="B134" s="259">
        <v>2436</v>
      </c>
      <c r="C134" s="259" t="s">
        <v>513</v>
      </c>
      <c r="I134" s="170" t="s">
        <v>112</v>
      </c>
      <c r="J134" s="170">
        <v>0.05</v>
      </c>
      <c r="K134" s="265"/>
    </row>
    <row r="135" spans="1:11" ht="15">
      <c r="A135" s="168" t="s">
        <v>1211</v>
      </c>
      <c r="B135" s="258" t="s">
        <v>1095</v>
      </c>
      <c r="C135" s="1077" t="s">
        <v>977</v>
      </c>
      <c r="D135" s="1077"/>
      <c r="E135" s="1077"/>
      <c r="F135" s="1077"/>
      <c r="G135" s="1077"/>
      <c r="H135" s="169"/>
      <c r="I135" s="258" t="s">
        <v>15</v>
      </c>
      <c r="J135" s="283">
        <f>M.CALCULO!D226</f>
        <v>250</v>
      </c>
      <c r="K135" s="265">
        <f t="shared" si="5"/>
        <v>37.5</v>
      </c>
    </row>
    <row r="136" spans="1:11" ht="22.5">
      <c r="B136" s="259">
        <v>2436</v>
      </c>
      <c r="C136" s="259" t="s">
        <v>513</v>
      </c>
      <c r="I136" s="170" t="s">
        <v>112</v>
      </c>
      <c r="J136" s="170">
        <v>0.15</v>
      </c>
      <c r="K136" s="265"/>
    </row>
    <row r="137" spans="1:11">
      <c r="A137" s="168" t="s">
        <v>1212</v>
      </c>
      <c r="B137" s="258">
        <v>68069</v>
      </c>
      <c r="C137" s="1077" t="s">
        <v>978</v>
      </c>
      <c r="D137" s="1077"/>
      <c r="E137" s="1077"/>
      <c r="F137" s="1077"/>
      <c r="G137" s="1077"/>
      <c r="H137" s="258"/>
      <c r="I137" s="258" t="s">
        <v>14</v>
      </c>
      <c r="J137" s="283">
        <f>M.CALCULO!D227</f>
        <v>5</v>
      </c>
      <c r="K137" s="265">
        <f t="shared" si="5"/>
        <v>2</v>
      </c>
    </row>
    <row r="138" spans="1:11" ht="22.5">
      <c r="B138" s="259">
        <v>2436</v>
      </c>
      <c r="C138" s="259" t="s">
        <v>513</v>
      </c>
      <c r="I138" s="170" t="s">
        <v>112</v>
      </c>
      <c r="J138" s="170">
        <v>0.4</v>
      </c>
      <c r="K138" s="265"/>
    </row>
    <row r="139" spans="1:11">
      <c r="A139" s="168" t="s">
        <v>1213</v>
      </c>
      <c r="B139" s="258" t="s">
        <v>1096</v>
      </c>
      <c r="C139" s="1077" t="s">
        <v>1020</v>
      </c>
      <c r="D139" s="1077"/>
      <c r="E139" s="1077"/>
      <c r="F139" s="1077"/>
      <c r="G139" s="1077"/>
      <c r="H139" s="258"/>
      <c r="I139" s="258" t="s">
        <v>14</v>
      </c>
      <c r="J139" s="283">
        <f>M.CALCULO!D228</f>
        <v>16</v>
      </c>
      <c r="K139" s="265">
        <f t="shared" si="5"/>
        <v>2.08</v>
      </c>
    </row>
    <row r="140" spans="1:11" ht="22.5">
      <c r="B140" s="259">
        <v>2436</v>
      </c>
      <c r="C140" s="259" t="s">
        <v>513</v>
      </c>
      <c r="I140" s="170" t="s">
        <v>112</v>
      </c>
      <c r="J140" s="170">
        <v>0.13</v>
      </c>
      <c r="K140" s="265"/>
    </row>
    <row r="141" spans="1:11" ht="14.25" customHeight="1">
      <c r="A141" s="168" t="s">
        <v>1214</v>
      </c>
      <c r="B141" s="258" t="s">
        <v>1096</v>
      </c>
      <c r="C141" s="1078" t="s">
        <v>478</v>
      </c>
      <c r="D141" s="1078"/>
      <c r="E141" s="1078"/>
      <c r="F141" s="1078"/>
      <c r="G141" s="1078"/>
      <c r="I141" s="258" t="s">
        <v>14</v>
      </c>
      <c r="J141" s="283">
        <f>M.CALCULO!D229</f>
        <v>16</v>
      </c>
      <c r="K141" s="265">
        <f t="shared" si="5"/>
        <v>2.08</v>
      </c>
    </row>
    <row r="142" spans="1:11" ht="22.5">
      <c r="B142" s="259">
        <v>2436</v>
      </c>
      <c r="C142" s="259" t="s">
        <v>513</v>
      </c>
      <c r="I142" s="170" t="s">
        <v>112</v>
      </c>
      <c r="J142" s="170">
        <v>0.13</v>
      </c>
      <c r="K142" s="265"/>
    </row>
    <row r="143" spans="1:11">
      <c r="A143" s="168" t="s">
        <v>1215</v>
      </c>
      <c r="B143" s="258" t="s">
        <v>1097</v>
      </c>
      <c r="C143" s="1077" t="s">
        <v>1021</v>
      </c>
      <c r="D143" s="1077"/>
      <c r="E143" s="1077"/>
      <c r="F143" s="1077"/>
      <c r="G143" s="1077"/>
      <c r="H143" s="258"/>
      <c r="I143" s="258" t="s">
        <v>14</v>
      </c>
      <c r="J143" s="283">
        <f>M.CALCULO!D230</f>
        <v>2</v>
      </c>
      <c r="K143" s="265">
        <f t="shared" si="5"/>
        <v>8</v>
      </c>
    </row>
    <row r="144" spans="1:11" ht="22.5">
      <c r="B144" s="259">
        <v>2436</v>
      </c>
      <c r="C144" s="259" t="s">
        <v>513</v>
      </c>
      <c r="I144" s="170" t="s">
        <v>112</v>
      </c>
      <c r="J144" s="170">
        <v>4</v>
      </c>
      <c r="K144" s="265"/>
    </row>
    <row r="145" spans="1:14">
      <c r="A145" s="168" t="s">
        <v>1216</v>
      </c>
      <c r="B145" s="258" t="s">
        <v>1098</v>
      </c>
      <c r="C145" s="1077" t="s">
        <v>1022</v>
      </c>
      <c r="D145" s="1077"/>
      <c r="E145" s="1077"/>
      <c r="F145" s="1077"/>
      <c r="G145" s="1077"/>
      <c r="H145" s="258"/>
      <c r="I145" s="258" t="s">
        <v>14</v>
      </c>
      <c r="J145" s="283">
        <f>M.CALCULO!D232</f>
        <v>1</v>
      </c>
      <c r="K145" s="265">
        <f t="shared" si="5"/>
        <v>2.5</v>
      </c>
    </row>
    <row r="146" spans="1:14">
      <c r="B146" s="259">
        <v>2439</v>
      </c>
      <c r="C146" s="259" t="s">
        <v>1023</v>
      </c>
      <c r="I146" s="170" t="s">
        <v>112</v>
      </c>
      <c r="J146" s="170">
        <v>2.5</v>
      </c>
      <c r="K146" s="265"/>
    </row>
    <row r="147" spans="1:14">
      <c r="A147" s="168" t="s">
        <v>1217</v>
      </c>
      <c r="B147" s="258" t="s">
        <v>1099</v>
      </c>
      <c r="C147" s="1077" t="s">
        <v>1024</v>
      </c>
      <c r="D147" s="1077"/>
      <c r="E147" s="1077"/>
      <c r="F147" s="1077"/>
      <c r="G147" s="1077"/>
      <c r="H147" s="258"/>
      <c r="I147" s="258" t="s">
        <v>14</v>
      </c>
      <c r="J147" s="283">
        <f>M.CALCULO!D233</f>
        <v>20</v>
      </c>
      <c r="K147" s="265">
        <f t="shared" si="5"/>
        <v>7.4</v>
      </c>
    </row>
    <row r="148" spans="1:14" ht="22.5">
      <c r="B148" s="259">
        <v>2436</v>
      </c>
      <c r="C148" s="259" t="s">
        <v>513</v>
      </c>
      <c r="I148" s="170" t="s">
        <v>112</v>
      </c>
      <c r="J148" s="170">
        <v>0.37</v>
      </c>
      <c r="K148" s="265"/>
      <c r="L148" s="293" t="s">
        <v>1514</v>
      </c>
      <c r="M148" s="293"/>
      <c r="N148" s="294"/>
    </row>
    <row r="149" spans="1:14">
      <c r="B149" s="259"/>
      <c r="C149" s="259"/>
      <c r="I149" s="1084" t="s">
        <v>1498</v>
      </c>
      <c r="J149" s="1084"/>
      <c r="K149" s="276">
        <f>SUM(K17:K147)</f>
        <v>1109.0731999999998</v>
      </c>
      <c r="L149" s="301">
        <f>6*220</f>
        <v>1320</v>
      </c>
      <c r="M149" s="301">
        <f>K149/L149</f>
        <v>0.84020696969696951</v>
      </c>
      <c r="N149" s="294"/>
    </row>
    <row r="150" spans="1:14">
      <c r="K150" s="265"/>
    </row>
    <row r="151" spans="1:14">
      <c r="A151" s="286" t="s">
        <v>1509</v>
      </c>
      <c r="K151" s="265"/>
    </row>
    <row r="152" spans="1:14" ht="21" customHeight="1">
      <c r="A152" s="168" t="s">
        <v>1218</v>
      </c>
      <c r="B152" s="258" t="s">
        <v>680</v>
      </c>
      <c r="C152" s="1077" t="s">
        <v>681</v>
      </c>
      <c r="D152" s="1077"/>
      <c r="E152" s="1077"/>
      <c r="F152" s="1077"/>
      <c r="G152" s="1077"/>
      <c r="H152" s="169"/>
      <c r="I152" s="258" t="s">
        <v>13</v>
      </c>
      <c r="J152" s="264">
        <f>M.CALCULO!D92</f>
        <v>391.1</v>
      </c>
      <c r="K152" s="265">
        <f t="shared" si="5"/>
        <v>782.2</v>
      </c>
    </row>
    <row r="153" spans="1:14">
      <c r="B153" s="259">
        <v>12873</v>
      </c>
      <c r="C153" s="259" t="s">
        <v>518</v>
      </c>
      <c r="I153" s="170" t="s">
        <v>112</v>
      </c>
      <c r="J153" s="170">
        <v>2</v>
      </c>
      <c r="K153" s="265"/>
    </row>
    <row r="154" spans="1:14" ht="15">
      <c r="A154" s="168" t="s">
        <v>1257</v>
      </c>
      <c r="B154" s="258">
        <v>68053</v>
      </c>
      <c r="C154" s="1077" t="s">
        <v>1258</v>
      </c>
      <c r="D154" s="1077"/>
      <c r="E154" s="1077"/>
      <c r="F154" s="1077"/>
      <c r="G154" s="1077"/>
      <c r="H154" s="169"/>
      <c r="I154" s="258" t="s">
        <v>13</v>
      </c>
      <c r="J154" s="264">
        <f>M.CALCULO!D93</f>
        <v>1056</v>
      </c>
      <c r="K154" s="265">
        <f t="shared" si="5"/>
        <v>211.20000000000002</v>
      </c>
    </row>
    <row r="155" spans="1:14">
      <c r="B155" s="259">
        <v>12873</v>
      </c>
      <c r="C155" s="259" t="s">
        <v>518</v>
      </c>
      <c r="I155" s="170" t="s">
        <v>112</v>
      </c>
      <c r="J155" s="170">
        <v>0.2</v>
      </c>
      <c r="K155" s="265"/>
      <c r="L155" s="269" t="s">
        <v>1516</v>
      </c>
    </row>
    <row r="156" spans="1:14">
      <c r="B156" s="281"/>
      <c r="C156" s="281"/>
      <c r="I156" s="1084" t="s">
        <v>1498</v>
      </c>
      <c r="J156" s="1084"/>
      <c r="K156" s="276">
        <f>SUM(K152:K154)</f>
        <v>993.40000000000009</v>
      </c>
      <c r="L156" s="301">
        <f>3*220</f>
        <v>660</v>
      </c>
      <c r="M156" s="301">
        <f>K156/L156</f>
        <v>1.5051515151515154</v>
      </c>
      <c r="N156" s="146"/>
    </row>
    <row r="157" spans="1:14">
      <c r="K157" s="265"/>
    </row>
    <row r="158" spans="1:14">
      <c r="A158" s="266" t="s">
        <v>1508</v>
      </c>
      <c r="K158" s="265"/>
    </row>
    <row r="159" spans="1:14">
      <c r="A159" s="284" t="s">
        <v>1510</v>
      </c>
      <c r="K159" s="265"/>
    </row>
    <row r="160" spans="1:14" ht="21" customHeight="1">
      <c r="A160" s="168" t="s">
        <v>1219</v>
      </c>
      <c r="B160" s="258" t="s">
        <v>911</v>
      </c>
      <c r="C160" s="1077" t="s">
        <v>912</v>
      </c>
      <c r="D160" s="1077"/>
      <c r="E160" s="1077"/>
      <c r="F160" s="1077"/>
      <c r="G160" s="1077"/>
      <c r="H160" s="258"/>
      <c r="I160" s="258" t="s">
        <v>15</v>
      </c>
      <c r="J160" s="283">
        <f>M.CALCULO!D377</f>
        <v>121.22</v>
      </c>
      <c r="K160" s="265">
        <f t="shared" ref="K160:K182" si="6">J160*J161</f>
        <v>33.941600000000001</v>
      </c>
    </row>
    <row r="161" spans="1:11" ht="22.5">
      <c r="B161" s="259">
        <v>2696</v>
      </c>
      <c r="C161" s="259" t="s">
        <v>517</v>
      </c>
      <c r="I161" s="170" t="s">
        <v>112</v>
      </c>
      <c r="J161" s="170">
        <v>0.28000000000000003</v>
      </c>
      <c r="K161" s="265"/>
    </row>
    <row r="162" spans="1:11">
      <c r="A162" s="168" t="s">
        <v>1220</v>
      </c>
      <c r="B162" s="258">
        <v>72715</v>
      </c>
      <c r="C162" s="1077" t="s">
        <v>913</v>
      </c>
      <c r="D162" s="1077"/>
      <c r="E162" s="1077"/>
      <c r="F162" s="1077"/>
      <c r="G162" s="1077"/>
      <c r="H162" s="258"/>
      <c r="I162" s="258" t="s">
        <v>88</v>
      </c>
      <c r="J162" s="283">
        <f>M.CALCULO!D378</f>
        <v>3</v>
      </c>
      <c r="K162" s="265">
        <f t="shared" si="6"/>
        <v>2.5499999999999998</v>
      </c>
    </row>
    <row r="163" spans="1:11" ht="22.5">
      <c r="B163" s="259">
        <v>2696</v>
      </c>
      <c r="C163" s="259" t="s">
        <v>517</v>
      </c>
      <c r="I163" s="170" t="s">
        <v>112</v>
      </c>
      <c r="J163" s="170">
        <v>0.85</v>
      </c>
      <c r="K163" s="265"/>
    </row>
    <row r="164" spans="1:11">
      <c r="A164" s="168" t="s">
        <v>1221</v>
      </c>
      <c r="B164" s="258">
        <v>72302</v>
      </c>
      <c r="C164" s="1077" t="s">
        <v>915</v>
      </c>
      <c r="D164" s="1077"/>
      <c r="E164" s="1077"/>
      <c r="F164" s="1077"/>
      <c r="G164" s="1077"/>
      <c r="H164" s="258"/>
      <c r="I164" s="258" t="s">
        <v>88</v>
      </c>
      <c r="J164" s="283">
        <f>M.CALCULO!D379</f>
        <v>10</v>
      </c>
      <c r="K164" s="265">
        <f t="shared" si="6"/>
        <v>7.5</v>
      </c>
    </row>
    <row r="165" spans="1:11" ht="22.5">
      <c r="B165" s="259">
        <v>2696</v>
      </c>
      <c r="C165" s="259" t="s">
        <v>517</v>
      </c>
      <c r="I165" s="170" t="s">
        <v>112</v>
      </c>
      <c r="J165" s="170">
        <v>0.75</v>
      </c>
      <c r="K165" s="265"/>
    </row>
    <row r="166" spans="1:11">
      <c r="A166" s="168" t="s">
        <v>1222</v>
      </c>
      <c r="B166" s="258">
        <v>72615</v>
      </c>
      <c r="C166" s="1077" t="s">
        <v>398</v>
      </c>
      <c r="D166" s="1077"/>
      <c r="E166" s="1077"/>
      <c r="F166" s="1077"/>
      <c r="G166" s="1077"/>
      <c r="H166" s="258"/>
      <c r="I166" s="258" t="s">
        <v>88</v>
      </c>
      <c r="J166" s="283">
        <f>M.CALCULO!D379</f>
        <v>10</v>
      </c>
      <c r="K166" s="265">
        <f t="shared" si="6"/>
        <v>3.5999999999999996</v>
      </c>
    </row>
    <row r="167" spans="1:11" ht="22.5">
      <c r="B167" s="259">
        <v>2696</v>
      </c>
      <c r="C167" s="259" t="s">
        <v>517</v>
      </c>
      <c r="I167" s="170" t="s">
        <v>112</v>
      </c>
      <c r="J167" s="170">
        <v>0.36</v>
      </c>
      <c r="K167" s="265"/>
    </row>
    <row r="168" spans="1:11">
      <c r="K168" s="265"/>
    </row>
    <row r="169" spans="1:11">
      <c r="A169" s="284" t="s">
        <v>91</v>
      </c>
      <c r="K169" s="265"/>
    </row>
    <row r="170" spans="1:11" ht="31.5" customHeight="1">
      <c r="A170" s="168" t="s">
        <v>1223</v>
      </c>
      <c r="B170" s="258" t="s">
        <v>1100</v>
      </c>
      <c r="C170" s="1077" t="s">
        <v>919</v>
      </c>
      <c r="D170" s="1077"/>
      <c r="E170" s="1077"/>
      <c r="F170" s="1077"/>
      <c r="G170" s="1077"/>
      <c r="H170" s="258"/>
      <c r="I170" s="258" t="s">
        <v>88</v>
      </c>
      <c r="J170" s="285">
        <f>M.CALCULO!D382</f>
        <v>3</v>
      </c>
      <c r="K170" s="265">
        <f t="shared" si="6"/>
        <v>12</v>
      </c>
    </row>
    <row r="171" spans="1:11" ht="22.5">
      <c r="B171" s="259">
        <v>2696</v>
      </c>
      <c r="C171" s="259" t="s">
        <v>517</v>
      </c>
      <c r="I171" s="170" t="s">
        <v>112</v>
      </c>
      <c r="J171" s="170">
        <v>4</v>
      </c>
      <c r="K171" s="265"/>
    </row>
    <row r="172" spans="1:11">
      <c r="A172" s="168" t="s">
        <v>1224</v>
      </c>
      <c r="B172" s="258">
        <v>72677</v>
      </c>
      <c r="C172" s="1077" t="s">
        <v>926</v>
      </c>
      <c r="D172" s="1077"/>
      <c r="E172" s="1077"/>
      <c r="F172" s="1077"/>
      <c r="G172" s="1077"/>
      <c r="H172" s="258"/>
      <c r="I172" s="258" t="s">
        <v>88</v>
      </c>
      <c r="J172" s="264">
        <f>M.CALCULO!D383</f>
        <v>3</v>
      </c>
      <c r="K172" s="265">
        <f t="shared" si="6"/>
        <v>1.2000000000000002</v>
      </c>
    </row>
    <row r="173" spans="1:11" ht="22.5">
      <c r="B173" s="259">
        <v>2696</v>
      </c>
      <c r="C173" s="259" t="s">
        <v>517</v>
      </c>
      <c r="I173" s="170" t="s">
        <v>112</v>
      </c>
      <c r="J173" s="170">
        <v>0.4</v>
      </c>
      <c r="K173" s="265"/>
    </row>
    <row r="174" spans="1:11">
      <c r="A174" s="168" t="s">
        <v>1225</v>
      </c>
      <c r="B174" s="258" t="s">
        <v>1101</v>
      </c>
      <c r="C174" s="1077" t="s">
        <v>928</v>
      </c>
      <c r="D174" s="1077"/>
      <c r="E174" s="1077"/>
      <c r="F174" s="1077"/>
      <c r="G174" s="1077"/>
      <c r="H174" s="258"/>
      <c r="I174" s="258" t="s">
        <v>88</v>
      </c>
      <c r="J174" s="283">
        <f>M.CALCULO!D384</f>
        <v>6</v>
      </c>
      <c r="K174" s="265">
        <f t="shared" si="6"/>
        <v>6</v>
      </c>
    </row>
    <row r="175" spans="1:11" ht="22.5">
      <c r="B175" s="259">
        <v>2436</v>
      </c>
      <c r="C175" s="259" t="s">
        <v>513</v>
      </c>
      <c r="I175" s="170" t="s">
        <v>112</v>
      </c>
      <c r="J175" s="170">
        <v>1</v>
      </c>
      <c r="K175" s="265"/>
    </row>
    <row r="176" spans="1:11">
      <c r="A176" s="168" t="s">
        <v>1226</v>
      </c>
      <c r="B176" s="258" t="s">
        <v>1102</v>
      </c>
      <c r="C176" s="1077" t="s">
        <v>928</v>
      </c>
      <c r="D176" s="1077"/>
      <c r="E176" s="1077"/>
      <c r="F176" s="1077"/>
      <c r="G176" s="1077"/>
      <c r="H176" s="258"/>
      <c r="I176" s="258" t="s">
        <v>88</v>
      </c>
      <c r="J176" s="283">
        <f>M.CALCULO!D385</f>
        <v>12</v>
      </c>
      <c r="K176" s="265">
        <f t="shared" si="6"/>
        <v>12</v>
      </c>
    </row>
    <row r="177" spans="1:14" ht="22.5">
      <c r="B177" s="259">
        <v>2436</v>
      </c>
      <c r="C177" s="259" t="s">
        <v>513</v>
      </c>
      <c r="I177" s="170" t="s">
        <v>112</v>
      </c>
      <c r="J177" s="170">
        <v>1</v>
      </c>
      <c r="K177" s="265"/>
    </row>
    <row r="178" spans="1:14">
      <c r="A178" s="168" t="s">
        <v>1227</v>
      </c>
      <c r="B178" s="258" t="s">
        <v>1103</v>
      </c>
      <c r="C178" s="1077" t="s">
        <v>930</v>
      </c>
      <c r="D178" s="1077"/>
      <c r="E178" s="1077"/>
      <c r="F178" s="1077"/>
      <c r="G178" s="1077"/>
      <c r="H178" s="258"/>
      <c r="I178" s="258" t="s">
        <v>88</v>
      </c>
      <c r="J178" s="283">
        <f>M.CALCULO!D386</f>
        <v>3</v>
      </c>
      <c r="K178" s="265">
        <f t="shared" si="6"/>
        <v>0.86999999999999988</v>
      </c>
    </row>
    <row r="179" spans="1:14" ht="22.5">
      <c r="B179" s="259">
        <v>2436</v>
      </c>
      <c r="C179" s="259" t="s">
        <v>513</v>
      </c>
      <c r="I179" s="170" t="s">
        <v>112</v>
      </c>
      <c r="J179" s="170">
        <v>0.28999999999999998</v>
      </c>
      <c r="K179" s="265"/>
    </row>
    <row r="180" spans="1:14">
      <c r="A180" s="168" t="s">
        <v>1228</v>
      </c>
      <c r="B180" s="258" t="s">
        <v>1104</v>
      </c>
      <c r="C180" s="1077" t="s">
        <v>932</v>
      </c>
      <c r="D180" s="1077"/>
      <c r="E180" s="1077"/>
      <c r="F180" s="1077"/>
      <c r="G180" s="1077"/>
      <c r="H180" s="258"/>
      <c r="I180" s="258" t="s">
        <v>88</v>
      </c>
      <c r="J180" s="283">
        <f>M.CALCULO!D387</f>
        <v>3</v>
      </c>
      <c r="K180" s="265">
        <f t="shared" si="6"/>
        <v>6</v>
      </c>
    </row>
    <row r="181" spans="1:14" ht="22.5">
      <c r="B181" s="259">
        <v>2436</v>
      </c>
      <c r="C181" s="259" t="s">
        <v>513</v>
      </c>
      <c r="I181" s="170" t="s">
        <v>112</v>
      </c>
      <c r="J181" s="170">
        <v>2</v>
      </c>
      <c r="K181" s="265"/>
    </row>
    <row r="182" spans="1:14">
      <c r="A182" s="168" t="s">
        <v>1229</v>
      </c>
      <c r="B182" s="258" t="s">
        <v>1110</v>
      </c>
      <c r="C182" s="1077" t="s">
        <v>934</v>
      </c>
      <c r="D182" s="1077"/>
      <c r="E182" s="1077"/>
      <c r="F182" s="1077"/>
      <c r="G182" s="1077"/>
      <c r="H182" s="258"/>
      <c r="I182" s="258" t="s">
        <v>88</v>
      </c>
      <c r="J182" s="283">
        <f>M.CALCULO!D388</f>
        <v>3</v>
      </c>
      <c r="K182" s="265">
        <f t="shared" si="6"/>
        <v>1.83</v>
      </c>
    </row>
    <row r="183" spans="1:14" ht="22.5">
      <c r="B183" s="259">
        <v>2436</v>
      </c>
      <c r="C183" s="259" t="s">
        <v>513</v>
      </c>
      <c r="I183" s="170" t="s">
        <v>112</v>
      </c>
      <c r="J183" s="170">
        <v>0.61</v>
      </c>
      <c r="K183" s="265"/>
      <c r="L183" s="293" t="s">
        <v>1517</v>
      </c>
      <c r="M183" s="300"/>
      <c r="N183" s="158"/>
    </row>
    <row r="184" spans="1:14">
      <c r="B184" s="291"/>
      <c r="C184" s="291"/>
      <c r="I184" s="1084" t="s">
        <v>1498</v>
      </c>
      <c r="J184" s="1084"/>
      <c r="K184" s="276">
        <f>SUM(K160:K182)</f>
        <v>87.491600000000005</v>
      </c>
      <c r="L184" s="301">
        <f>2*220</f>
        <v>440</v>
      </c>
      <c r="M184" s="301">
        <f>K184/L184</f>
        <v>0.19884454545454547</v>
      </c>
      <c r="N184" s="158"/>
    </row>
    <row r="185" spans="1:14">
      <c r="B185" s="281"/>
      <c r="C185" s="281"/>
      <c r="I185" s="170"/>
      <c r="J185" s="170"/>
      <c r="K185" s="265"/>
      <c r="L185" s="300"/>
      <c r="M185" s="300"/>
      <c r="N185" s="158"/>
    </row>
    <row r="186" spans="1:14">
      <c r="A186" s="266" t="s">
        <v>1231</v>
      </c>
      <c r="L186" s="300"/>
      <c r="M186" s="300"/>
      <c r="N186" s="158"/>
    </row>
    <row r="187" spans="1:14" ht="15">
      <c r="A187" s="168" t="s">
        <v>910</v>
      </c>
      <c r="B187" s="288" t="s">
        <v>1426</v>
      </c>
      <c r="C187" s="1077" t="s">
        <v>1254</v>
      </c>
      <c r="D187" s="1077"/>
      <c r="E187" s="1077"/>
      <c r="F187" s="1077"/>
      <c r="G187" s="1077"/>
      <c r="H187" s="169"/>
      <c r="I187" s="288" t="s">
        <v>15</v>
      </c>
      <c r="J187" s="264">
        <f>M.CALCULO!D397</f>
        <v>1</v>
      </c>
      <c r="K187" s="265">
        <f>J187*J188</f>
        <v>8</v>
      </c>
      <c r="L187" s="300"/>
      <c r="M187" s="300"/>
      <c r="N187" s="158"/>
    </row>
    <row r="188" spans="1:14" ht="22.5">
      <c r="B188" s="289">
        <v>2436</v>
      </c>
      <c r="C188" s="289" t="s">
        <v>513</v>
      </c>
      <c r="I188" s="170" t="s">
        <v>112</v>
      </c>
      <c r="J188" s="170">
        <v>8</v>
      </c>
      <c r="K188" s="265"/>
      <c r="L188" s="300"/>
      <c r="M188" s="300"/>
      <c r="N188" s="158"/>
    </row>
    <row r="189" spans="1:14" ht="15">
      <c r="A189" s="168" t="s">
        <v>918</v>
      </c>
      <c r="B189" s="288" t="s">
        <v>1313</v>
      </c>
      <c r="C189" s="1077" t="s">
        <v>1255</v>
      </c>
      <c r="D189" s="1077"/>
      <c r="E189" s="1077"/>
      <c r="F189" s="1077"/>
      <c r="G189" s="1077"/>
      <c r="H189" s="169"/>
      <c r="I189" s="288" t="s">
        <v>15</v>
      </c>
      <c r="J189" s="264">
        <f>M.CALCULO!D398</f>
        <v>4</v>
      </c>
      <c r="K189" s="265">
        <f t="shared" ref="K189:K191" si="7">J189*J190</f>
        <v>32</v>
      </c>
      <c r="L189" s="300"/>
      <c r="M189" s="300"/>
      <c r="N189" s="158"/>
    </row>
    <row r="190" spans="1:14" ht="22.5">
      <c r="B190" s="289">
        <v>2436</v>
      </c>
      <c r="C190" s="289" t="s">
        <v>513</v>
      </c>
      <c r="I190" s="170" t="s">
        <v>112</v>
      </c>
      <c r="J190" s="170">
        <v>8</v>
      </c>
      <c r="K190" s="265"/>
      <c r="L190" s="300"/>
      <c r="M190" s="300"/>
      <c r="N190" s="158"/>
    </row>
    <row r="191" spans="1:14" ht="15">
      <c r="A191" s="168" t="s">
        <v>937</v>
      </c>
      <c r="B191" s="288" t="s">
        <v>1314</v>
      </c>
      <c r="C191" s="1077" t="s">
        <v>1256</v>
      </c>
      <c r="D191" s="1077"/>
      <c r="E191" s="1077"/>
      <c r="F191" s="1077"/>
      <c r="G191" s="1077"/>
      <c r="H191" s="169"/>
      <c r="I191" s="288" t="s">
        <v>15</v>
      </c>
      <c r="J191" s="264">
        <f>M.CALCULO!D399</f>
        <v>2</v>
      </c>
      <c r="K191" s="265">
        <f t="shared" si="7"/>
        <v>16</v>
      </c>
      <c r="L191" s="300"/>
      <c r="M191" s="300"/>
      <c r="N191" s="158"/>
    </row>
    <row r="192" spans="1:14" ht="22.5">
      <c r="B192" s="289">
        <v>2436</v>
      </c>
      <c r="C192" s="289" t="s">
        <v>513</v>
      </c>
      <c r="I192" s="170" t="s">
        <v>112</v>
      </c>
      <c r="J192" s="170">
        <v>8</v>
      </c>
      <c r="L192" s="293" t="s">
        <v>1518</v>
      </c>
      <c r="M192" s="300"/>
      <c r="N192" s="158"/>
    </row>
    <row r="193" spans="1:14">
      <c r="B193" s="291"/>
      <c r="C193" s="291"/>
      <c r="I193" s="1084" t="s">
        <v>1498</v>
      </c>
      <c r="J193" s="1084"/>
      <c r="K193" s="276">
        <f>SUM(K187:K191)</f>
        <v>56</v>
      </c>
      <c r="L193" s="301">
        <v>220</v>
      </c>
      <c r="M193" s="301">
        <f>K193/L193</f>
        <v>0.25454545454545452</v>
      </c>
      <c r="N193" s="158"/>
    </row>
    <row r="194" spans="1:14" ht="13.5" thickBot="1">
      <c r="B194" s="291"/>
      <c r="C194" s="291"/>
      <c r="I194" s="170"/>
      <c r="J194" s="170"/>
      <c r="K194" s="265"/>
      <c r="L194" s="300"/>
      <c r="M194" s="300"/>
      <c r="N194" s="158"/>
    </row>
    <row r="195" spans="1:14" ht="26.25" thickBot="1">
      <c r="A195" s="174" t="s">
        <v>526</v>
      </c>
      <c r="B195" s="292" t="s">
        <v>507</v>
      </c>
      <c r="C195" s="292" t="s">
        <v>491</v>
      </c>
      <c r="D195" s="292"/>
      <c r="E195" s="292"/>
      <c r="F195" s="292"/>
      <c r="G195" s="175"/>
      <c r="H195" s="175"/>
      <c r="I195" s="262" t="s">
        <v>492</v>
      </c>
      <c r="J195" s="262" t="s">
        <v>1494</v>
      </c>
      <c r="K195" s="304" t="s">
        <v>1499</v>
      </c>
      <c r="L195" s="302"/>
      <c r="M195" s="303"/>
    </row>
    <row r="196" spans="1:14">
      <c r="A196" s="266" t="s">
        <v>1511</v>
      </c>
      <c r="K196" s="265"/>
    </row>
    <row r="197" spans="1:14">
      <c r="A197" s="168" t="s">
        <v>24</v>
      </c>
      <c r="B197" s="258" t="s">
        <v>1310</v>
      </c>
      <c r="C197" s="1077" t="s">
        <v>1060</v>
      </c>
      <c r="D197" s="1077"/>
      <c r="E197" s="1077"/>
      <c r="F197" s="1077"/>
      <c r="G197" s="1077"/>
      <c r="H197" s="258"/>
      <c r="I197" s="287" t="s">
        <v>1113</v>
      </c>
      <c r="J197" s="283">
        <f>M.CALCULO!D19</f>
        <v>6</v>
      </c>
      <c r="K197" s="265">
        <v>1</v>
      </c>
      <c r="N197" s="290"/>
    </row>
    <row r="198" spans="1:14" ht="22.5">
      <c r="B198" s="259">
        <v>2707</v>
      </c>
      <c r="C198" s="259" t="s">
        <v>1061</v>
      </c>
      <c r="I198" s="170" t="s">
        <v>1113</v>
      </c>
      <c r="J198" s="170">
        <v>1</v>
      </c>
      <c r="K198" s="265"/>
      <c r="N198" s="290"/>
    </row>
    <row r="199" spans="1:14">
      <c r="A199" s="168" t="s">
        <v>25</v>
      </c>
      <c r="B199" s="258" t="s">
        <v>1311</v>
      </c>
      <c r="C199" s="1077" t="s">
        <v>1062</v>
      </c>
      <c r="D199" s="1077"/>
      <c r="E199" s="1077"/>
      <c r="F199" s="1077"/>
      <c r="G199" s="1077"/>
      <c r="H199" s="258"/>
      <c r="I199" s="287" t="s">
        <v>1113</v>
      </c>
      <c r="J199" s="283">
        <f>M.CALCULO!D21</f>
        <v>6</v>
      </c>
      <c r="K199" s="265">
        <v>1</v>
      </c>
      <c r="N199" s="290"/>
    </row>
    <row r="200" spans="1:14">
      <c r="B200" s="259">
        <v>4069</v>
      </c>
      <c r="C200" s="259" t="s">
        <v>1062</v>
      </c>
      <c r="I200" s="170" t="s">
        <v>1113</v>
      </c>
      <c r="J200" s="170">
        <v>1</v>
      </c>
      <c r="K200" s="265"/>
      <c r="N200" s="290"/>
    </row>
    <row r="201" spans="1:14">
      <c r="A201" s="168" t="s">
        <v>111</v>
      </c>
      <c r="B201" s="258" t="s">
        <v>1312</v>
      </c>
      <c r="C201" s="1077" t="s">
        <v>488</v>
      </c>
      <c r="D201" s="1077"/>
      <c r="E201" s="1077"/>
      <c r="F201" s="1077"/>
      <c r="G201" s="1077"/>
      <c r="H201" s="258"/>
      <c r="I201" s="287" t="s">
        <v>1113</v>
      </c>
      <c r="J201" s="283">
        <f>M.CALCULO!D22</f>
        <v>12</v>
      </c>
      <c r="K201" s="265">
        <v>2</v>
      </c>
      <c r="N201" s="290"/>
    </row>
    <row r="202" spans="1:14">
      <c r="B202" s="259">
        <v>10508</v>
      </c>
      <c r="C202" s="259" t="s">
        <v>488</v>
      </c>
      <c r="I202" s="170" t="s">
        <v>1113</v>
      </c>
      <c r="J202" s="170">
        <v>1</v>
      </c>
      <c r="K202" s="265"/>
      <c r="N202" s="290"/>
    </row>
    <row r="203" spans="1:14">
      <c r="A203" s="168" t="s">
        <v>1364</v>
      </c>
      <c r="B203" s="258" t="s">
        <v>1355</v>
      </c>
      <c r="C203" s="1077" t="s">
        <v>1366</v>
      </c>
      <c r="D203" s="1077"/>
      <c r="E203" s="1077"/>
      <c r="F203" s="1077"/>
      <c r="G203" s="1077"/>
      <c r="H203" s="258"/>
      <c r="I203" s="287" t="s">
        <v>1113</v>
      </c>
      <c r="J203" s="283">
        <f>M.CALCULO!D23</f>
        <v>6</v>
      </c>
      <c r="K203" s="265">
        <v>1</v>
      </c>
      <c r="N203" s="290"/>
    </row>
    <row r="204" spans="1:14">
      <c r="B204" s="259">
        <v>2707</v>
      </c>
      <c r="C204" s="259" t="s">
        <v>1365</v>
      </c>
      <c r="I204" s="170" t="s">
        <v>1113</v>
      </c>
      <c r="J204" s="170">
        <v>1</v>
      </c>
      <c r="K204" s="265"/>
      <c r="N204" s="290"/>
    </row>
    <row r="205" spans="1:14">
      <c r="L205" s="298"/>
      <c r="M205" s="298"/>
      <c r="N205" s="299"/>
    </row>
    <row r="207" spans="1:14">
      <c r="N207" s="290"/>
    </row>
    <row r="208" spans="1:14">
      <c r="N208" s="290"/>
    </row>
    <row r="209" spans="12:14">
      <c r="N209" s="290"/>
    </row>
    <row r="210" spans="12:14">
      <c r="N210" s="290"/>
    </row>
    <row r="211" spans="12:14">
      <c r="N211" s="290"/>
    </row>
    <row r="213" spans="12:14">
      <c r="L213" s="298"/>
      <c r="M213" s="298"/>
      <c r="N213" s="299"/>
    </row>
    <row r="214" spans="12:14">
      <c r="L214" s="293"/>
      <c r="M214" s="293"/>
      <c r="N214" s="294"/>
    </row>
  </sheetData>
  <mergeCells count="93">
    <mergeCell ref="I184:J184"/>
    <mergeCell ref="I193:J193"/>
    <mergeCell ref="L12:M12"/>
    <mergeCell ref="C29:G29"/>
    <mergeCell ref="C25:G25"/>
    <mergeCell ref="C27:G27"/>
    <mergeCell ref="I149:J149"/>
    <mergeCell ref="I156:J156"/>
    <mergeCell ref="C45:G45"/>
    <mergeCell ref="C47:G47"/>
    <mergeCell ref="C35:G35"/>
    <mergeCell ref="C37:G37"/>
    <mergeCell ref="C39:G39"/>
    <mergeCell ref="C41:G41"/>
    <mergeCell ref="C43:G43"/>
    <mergeCell ref="C49:G49"/>
    <mergeCell ref="C6:G6"/>
    <mergeCell ref="C8:G8"/>
    <mergeCell ref="C10:G10"/>
    <mergeCell ref="C31:G31"/>
    <mergeCell ref="C33:G33"/>
    <mergeCell ref="C17:G17"/>
    <mergeCell ref="C19:G19"/>
    <mergeCell ref="C21:G21"/>
    <mergeCell ref="C23:G23"/>
    <mergeCell ref="C51:G51"/>
    <mergeCell ref="C53:G53"/>
    <mergeCell ref="C55:G55"/>
    <mergeCell ref="C57:G57"/>
    <mergeCell ref="C59:G59"/>
    <mergeCell ref="C61:G61"/>
    <mergeCell ref="C63:G63"/>
    <mergeCell ref="C65:G65"/>
    <mergeCell ref="C67:G67"/>
    <mergeCell ref="C69:G69"/>
    <mergeCell ref="C71:G71"/>
    <mergeCell ref="C73:G73"/>
    <mergeCell ref="C75:G75"/>
    <mergeCell ref="C77:G77"/>
    <mergeCell ref="C79:G79"/>
    <mergeCell ref="C81:G81"/>
    <mergeCell ref="C83:G83"/>
    <mergeCell ref="C85:G85"/>
    <mergeCell ref="C87:G87"/>
    <mergeCell ref="C89:G89"/>
    <mergeCell ref="C91:G91"/>
    <mergeCell ref="C93:G93"/>
    <mergeCell ref="C95:G95"/>
    <mergeCell ref="C97:G97"/>
    <mergeCell ref="C99:G99"/>
    <mergeCell ref="C101:G101"/>
    <mergeCell ref="C103:G103"/>
    <mergeCell ref="C105:G105"/>
    <mergeCell ref="C107:G107"/>
    <mergeCell ref="C109:G109"/>
    <mergeCell ref="C123:G123"/>
    <mergeCell ref="C125:G125"/>
    <mergeCell ref="C127:G127"/>
    <mergeCell ref="C129:G129"/>
    <mergeCell ref="C111:G111"/>
    <mergeCell ref="C115:G115"/>
    <mergeCell ref="C117:G117"/>
    <mergeCell ref="C119:G119"/>
    <mergeCell ref="C121:G121"/>
    <mergeCell ref="C131:G131"/>
    <mergeCell ref="C133:G133"/>
    <mergeCell ref="C135:G135"/>
    <mergeCell ref="C137:G137"/>
    <mergeCell ref="C139:G139"/>
    <mergeCell ref="C187:G187"/>
    <mergeCell ref="C189:G189"/>
    <mergeCell ref="C191:G191"/>
    <mergeCell ref="C141:G141"/>
    <mergeCell ref="C143:G143"/>
    <mergeCell ref="C145:G145"/>
    <mergeCell ref="C147:G147"/>
    <mergeCell ref="C152:G152"/>
    <mergeCell ref="C203:G203"/>
    <mergeCell ref="C154:G154"/>
    <mergeCell ref="C160:G160"/>
    <mergeCell ref="C162:G162"/>
    <mergeCell ref="C164:G164"/>
    <mergeCell ref="C166:G166"/>
    <mergeCell ref="C201:G201"/>
    <mergeCell ref="C170:G170"/>
    <mergeCell ref="C172:G172"/>
    <mergeCell ref="C174:G174"/>
    <mergeCell ref="C176:G176"/>
    <mergeCell ref="C178:G178"/>
    <mergeCell ref="C180:G180"/>
    <mergeCell ref="C182:G182"/>
    <mergeCell ref="C197:G197"/>
    <mergeCell ref="C199:G19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/>
  </sheetViews>
  <sheetFormatPr defaultColWidth="9.140625" defaultRowHeight="11.25"/>
  <cols>
    <col min="1" max="1" width="10.28515625" style="149" customWidth="1"/>
    <col min="2" max="2" width="7.28515625" style="211" bestFit="1" customWidth="1"/>
    <col min="3" max="3" width="46.85546875" style="150" customWidth="1"/>
    <col min="4" max="4" width="4.42578125" style="151" bestFit="1" customWidth="1"/>
    <col min="5" max="5" width="9.42578125" style="134" customWidth="1"/>
    <col min="6" max="6" width="13.28515625" style="134" customWidth="1"/>
    <col min="7" max="7" width="15.85546875" style="134" bestFit="1" customWidth="1"/>
    <col min="8" max="9" width="13.140625" style="118" bestFit="1" customWidth="1"/>
    <col min="10" max="16384" width="9.140625" style="118"/>
  </cols>
  <sheetData>
    <row r="1" spans="1:7" s="146" customFormat="1" ht="12.75">
      <c r="B1" s="161"/>
      <c r="C1" s="158"/>
      <c r="E1" s="162"/>
      <c r="F1" s="1091"/>
      <c r="G1" s="1091"/>
    </row>
    <row r="2" spans="1:7" ht="87" thickBot="1">
      <c r="A2" s="157"/>
      <c r="C2" s="159"/>
      <c r="D2" s="160"/>
      <c r="E2" s="163"/>
      <c r="F2" s="1092"/>
      <c r="G2" s="1092"/>
    </row>
    <row r="3" spans="1:7" s="211" customFormat="1" ht="24.75" thickBot="1">
      <c r="A3" s="186" t="s">
        <v>489</v>
      </c>
      <c r="B3" s="187" t="s">
        <v>490</v>
      </c>
      <c r="C3" s="188" t="s">
        <v>491</v>
      </c>
      <c r="D3" s="187" t="s">
        <v>492</v>
      </c>
      <c r="E3" s="189" t="s">
        <v>195</v>
      </c>
      <c r="F3" s="190" t="s">
        <v>504</v>
      </c>
      <c r="G3" s="191" t="s">
        <v>506</v>
      </c>
    </row>
    <row r="4" spans="1:7" s="211" customFormat="1">
      <c r="A4" s="179"/>
      <c r="B4" s="180"/>
      <c r="C4" s="181" t="s">
        <v>107</v>
      </c>
      <c r="D4" s="182"/>
      <c r="E4" s="183"/>
      <c r="F4" s="184"/>
      <c r="G4" s="185"/>
    </row>
    <row r="5" spans="1:7" s="211" customFormat="1">
      <c r="A5" s="212"/>
      <c r="B5" s="136" t="s">
        <v>390</v>
      </c>
      <c r="C5" s="236" t="s">
        <v>315</v>
      </c>
      <c r="D5" s="113"/>
      <c r="E5" s="114"/>
      <c r="F5" s="227"/>
      <c r="G5" s="227"/>
    </row>
    <row r="6" spans="1:7" s="211" customFormat="1" ht="22.5">
      <c r="A6" s="203">
        <v>72209</v>
      </c>
      <c r="B6" s="119" t="s">
        <v>1158</v>
      </c>
      <c r="C6" s="1" t="s">
        <v>1069</v>
      </c>
      <c r="D6" s="226" t="s">
        <v>97</v>
      </c>
      <c r="E6" s="227">
        <f>[2]M.CALCULO!D17</f>
        <v>392.69</v>
      </c>
      <c r="F6" s="227">
        <f>[2]COMPOSIÇÕES!I141</f>
        <v>10.156689999999999</v>
      </c>
      <c r="G6" s="227">
        <f>ROUND(E6*F6,2)</f>
        <v>3988.43</v>
      </c>
    </row>
    <row r="7" spans="1:7" s="211" customFormat="1" ht="22.5">
      <c r="A7" s="203" t="s">
        <v>1067</v>
      </c>
      <c r="B7" s="119" t="s">
        <v>1159</v>
      </c>
      <c r="C7" s="1" t="s">
        <v>114</v>
      </c>
      <c r="D7" s="226" t="s">
        <v>115</v>
      </c>
      <c r="E7" s="227">
        <f>[2]M.CALCULO!D18</f>
        <v>120</v>
      </c>
      <c r="F7" s="227">
        <f>[2]COMPOSIÇÕES!I149</f>
        <v>120</v>
      </c>
      <c r="G7" s="227">
        <f>ROUND(E7*F7,2)</f>
        <v>14400</v>
      </c>
    </row>
    <row r="8" spans="1:7" s="211" customFormat="1">
      <c r="A8" s="212"/>
      <c r="B8" s="119"/>
      <c r="C8" s="228"/>
      <c r="D8" s="226"/>
      <c r="E8" s="1093" t="s">
        <v>106</v>
      </c>
      <c r="F8" s="1094"/>
      <c r="G8" s="114">
        <f>SUM(G6:G7)</f>
        <v>18388.43</v>
      </c>
    </row>
    <row r="9" spans="1:7" s="211" customFormat="1">
      <c r="A9" s="212"/>
      <c r="B9" s="119"/>
      <c r="C9" s="1"/>
      <c r="D9" s="226"/>
      <c r="E9" s="227"/>
      <c r="F9" s="227"/>
      <c r="G9" s="227"/>
    </row>
    <row r="10" spans="1:7" s="123" customFormat="1">
      <c r="A10" s="212"/>
      <c r="B10" s="121" t="s">
        <v>394</v>
      </c>
      <c r="C10" s="122" t="s">
        <v>426</v>
      </c>
      <c r="D10" s="113"/>
      <c r="E10" s="114"/>
      <c r="F10" s="227"/>
      <c r="G10" s="227"/>
    </row>
    <row r="11" spans="1:7">
      <c r="A11" s="204"/>
      <c r="B11" s="121" t="s">
        <v>395</v>
      </c>
      <c r="C11" s="122" t="s">
        <v>428</v>
      </c>
      <c r="D11" s="226"/>
      <c r="E11" s="227"/>
      <c r="F11" s="144"/>
      <c r="G11" s="144"/>
    </row>
    <row r="12" spans="1:7" ht="12.75" customHeight="1">
      <c r="A12" s="205" t="s">
        <v>1093</v>
      </c>
      <c r="B12" s="143" t="s">
        <v>1207</v>
      </c>
      <c r="C12" s="1" t="s">
        <v>524</v>
      </c>
      <c r="D12" s="117" t="s">
        <v>14</v>
      </c>
      <c r="E12" s="144">
        <f>[2]M.CALCULO!D14</f>
        <v>1</v>
      </c>
      <c r="F12" s="144">
        <f>[2]COMPOSIÇÕES!I1027</f>
        <v>24500</v>
      </c>
      <c r="G12" s="227">
        <f>ROUND(E12*F12,2)</f>
        <v>24500</v>
      </c>
    </row>
    <row r="13" spans="1:7">
      <c r="A13" s="205" t="s">
        <v>1094</v>
      </c>
      <c r="B13" s="143" t="s">
        <v>1209</v>
      </c>
      <c r="C13" s="1" t="s">
        <v>475</v>
      </c>
      <c r="D13" s="117" t="s">
        <v>14</v>
      </c>
      <c r="E13" s="144">
        <f>[2]M.CALCULO!D140</f>
        <v>40</v>
      </c>
      <c r="F13" s="144">
        <f>[2]COMPOSIÇÕES!I1045</f>
        <v>35</v>
      </c>
      <c r="G13" s="227">
        <f>ROUND(E13*F13,2)</f>
        <v>1400</v>
      </c>
    </row>
    <row r="14" spans="1:7" s="211" customFormat="1">
      <c r="A14" s="212"/>
      <c r="B14" s="119"/>
      <c r="C14" s="228"/>
      <c r="D14" s="226"/>
      <c r="E14" s="1095" t="s">
        <v>106</v>
      </c>
      <c r="F14" s="1095"/>
      <c r="G14" s="114">
        <f>SUM(G11:G13)</f>
        <v>25900</v>
      </c>
    </row>
    <row r="15" spans="1:7">
      <c r="A15" s="205"/>
      <c r="B15" s="143"/>
      <c r="C15" s="1"/>
      <c r="D15" s="117"/>
      <c r="E15" s="144"/>
      <c r="F15" s="144"/>
      <c r="G15" s="144"/>
    </row>
    <row r="16" spans="1:7">
      <c r="A16" s="212"/>
      <c r="B16" s="119"/>
      <c r="C16" s="1"/>
      <c r="D16" s="226"/>
      <c r="E16" s="227"/>
      <c r="F16" s="227"/>
      <c r="G16" s="227"/>
    </row>
    <row r="17" spans="1:9">
      <c r="A17" s="120" t="s">
        <v>1315</v>
      </c>
      <c r="B17" s="120" t="s">
        <v>4</v>
      </c>
      <c r="C17" s="1" t="s">
        <v>1390</v>
      </c>
      <c r="D17" s="226" t="s">
        <v>553</v>
      </c>
      <c r="E17" s="227">
        <f>[2]M.CALCULO!D371</f>
        <v>1</v>
      </c>
      <c r="F17" s="227">
        <f>[2]COMPOSIÇÕES!I3114</f>
        <v>2998</v>
      </c>
      <c r="G17" s="227">
        <f>ROUND(E17*F17,2)</f>
        <v>2998</v>
      </c>
    </row>
    <row r="18" spans="1:9" ht="22.5">
      <c r="A18" s="120">
        <v>73603</v>
      </c>
      <c r="B18" s="120" t="s">
        <v>5</v>
      </c>
      <c r="C18" s="228" t="s">
        <v>1248</v>
      </c>
      <c r="D18" s="226" t="s">
        <v>553</v>
      </c>
      <c r="E18" s="227">
        <f>[2]M.CALCULO!D372</f>
        <v>1</v>
      </c>
      <c r="F18" s="227">
        <f>[2]COMPOSIÇÕES!I3122</f>
        <v>1659.16</v>
      </c>
      <c r="G18" s="227">
        <f>ROUND(E18*F18,2)</f>
        <v>1659.16</v>
      </c>
    </row>
    <row r="19" spans="1:9">
      <c r="A19" s="207" t="s">
        <v>1319</v>
      </c>
      <c r="B19" s="120" t="s">
        <v>1250</v>
      </c>
      <c r="C19" s="206" t="s">
        <v>1251</v>
      </c>
      <c r="D19" s="226" t="s">
        <v>553</v>
      </c>
      <c r="E19" s="227">
        <f>[2]M.CALCULO!D373</f>
        <v>1</v>
      </c>
      <c r="F19" s="227">
        <f>[2]COMPOSIÇÕES!I3130</f>
        <v>379.24</v>
      </c>
      <c r="G19" s="227">
        <f>ROUND(E19*F19,2)</f>
        <v>379.24</v>
      </c>
    </row>
    <row r="20" spans="1:9" s="211" customFormat="1">
      <c r="A20" s="212"/>
      <c r="B20" s="120"/>
      <c r="C20" s="228"/>
      <c r="D20" s="226"/>
      <c r="E20" s="1095" t="s">
        <v>106</v>
      </c>
      <c r="F20" s="1095"/>
      <c r="G20" s="114">
        <f>SUM(G17:G19)</f>
        <v>5036.3999999999996</v>
      </c>
    </row>
    <row r="21" spans="1:9">
      <c r="A21" s="212"/>
      <c r="B21" s="120"/>
      <c r="C21" s="1"/>
      <c r="D21" s="226"/>
      <c r="E21" s="227"/>
      <c r="F21" s="227"/>
      <c r="G21" s="227"/>
    </row>
    <row r="22" spans="1:9">
      <c r="A22" s="212"/>
      <c r="B22" s="120"/>
      <c r="C22" s="1"/>
      <c r="D22" s="226"/>
      <c r="E22" s="227"/>
      <c r="F22" s="227"/>
      <c r="G22" s="227"/>
    </row>
    <row r="23" spans="1:9">
      <c r="A23" s="212"/>
      <c r="B23" s="120"/>
      <c r="C23" s="1"/>
      <c r="D23" s="226"/>
      <c r="E23" s="227"/>
      <c r="F23" s="227"/>
      <c r="G23" s="227"/>
      <c r="H23" s="202"/>
    </row>
    <row r="24" spans="1:9" s="146" customFormat="1" ht="12.75">
      <c r="A24" s="1096" t="s">
        <v>1391</v>
      </c>
      <c r="B24" s="1097"/>
      <c r="C24" s="1097"/>
      <c r="D24" s="1097"/>
      <c r="E24" s="1097"/>
      <c r="F24" s="1097"/>
      <c r="G24" s="178">
        <f>SUM(G6:G20)/2</f>
        <v>49324.83</v>
      </c>
      <c r="H24" s="165"/>
      <c r="I24" s="166"/>
    </row>
    <row r="25" spans="1:9" s="146" customFormat="1" ht="12.75">
      <c r="A25" s="1087" t="s">
        <v>1323</v>
      </c>
      <c r="B25" s="1088"/>
      <c r="C25" s="1088"/>
      <c r="D25" s="1088"/>
      <c r="E25" s="1088"/>
      <c r="F25" s="1088"/>
      <c r="G25" s="210">
        <f>G24*0.1</f>
        <v>4932.4830000000002</v>
      </c>
    </row>
    <row r="26" spans="1:9" s="146" customFormat="1" ht="13.5" thickBot="1">
      <c r="A26" s="1089" t="s">
        <v>2</v>
      </c>
      <c r="B26" s="1090"/>
      <c r="C26" s="1090"/>
      <c r="D26" s="1090"/>
      <c r="E26" s="1090"/>
      <c r="F26" s="1090"/>
      <c r="G26" s="164">
        <f>SUM(G24:G25)</f>
        <v>54257.313000000002</v>
      </c>
    </row>
    <row r="27" spans="1:9">
      <c r="A27" s="240"/>
      <c r="B27" s="241"/>
      <c r="E27" s="242"/>
      <c r="F27" s="242"/>
      <c r="G27" s="242"/>
    </row>
    <row r="29" spans="1:9">
      <c r="C29" s="156" t="s">
        <v>1</v>
      </c>
    </row>
    <row r="30" spans="1:9" ht="22.5">
      <c r="C30" s="156" t="s">
        <v>1111</v>
      </c>
    </row>
  </sheetData>
  <mergeCells count="8">
    <mergeCell ref="A25:F25"/>
    <mergeCell ref="A26:F26"/>
    <mergeCell ref="F1:G1"/>
    <mergeCell ref="F2:G2"/>
    <mergeCell ref="E8:F8"/>
    <mergeCell ref="E14:F14"/>
    <mergeCell ref="E20:F20"/>
    <mergeCell ref="A24:F2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8</vt:i4>
      </vt:variant>
    </vt:vector>
  </HeadingPairs>
  <TitlesOfParts>
    <vt:vector size="23" baseType="lpstr">
      <vt:lpstr>Cronograma Físico-Financeiro</vt:lpstr>
      <vt:lpstr>PLANILHA ORÇAMENTARIA</vt:lpstr>
      <vt:lpstr>COMPOSIÇÕES</vt:lpstr>
      <vt:lpstr>Insumos</vt:lpstr>
      <vt:lpstr>M.CALCULO</vt:lpstr>
      <vt:lpstr>FUNDAÇAO</vt:lpstr>
      <vt:lpstr>MOV. TERRA</vt:lpstr>
      <vt:lpstr>ALVENARIA</vt:lpstr>
      <vt:lpstr>PISO</vt:lpstr>
      <vt:lpstr>FORRO</vt:lpstr>
      <vt:lpstr>ESTRUTURA</vt:lpstr>
      <vt:lpstr>ESCAVAÇÃO</vt:lpstr>
      <vt:lpstr>TRANSPORTE</vt:lpstr>
      <vt:lpstr>PROF. TERCEIRIZADOS</vt:lpstr>
      <vt:lpstr>BDI DIFERENCIADO</vt:lpstr>
      <vt:lpstr>COMPOSIÇÕES!Area_de_impressao</vt:lpstr>
      <vt:lpstr>'Cronograma Físico-Financeiro'!Area_de_impressao</vt:lpstr>
      <vt:lpstr>M.CALCULO!Area_de_impressao</vt:lpstr>
      <vt:lpstr>'PLANILHA ORÇAMENTARIA'!Area_de_impressao</vt:lpstr>
      <vt:lpstr>COMPOSIÇÕES!Titulos_de_impressao</vt:lpstr>
      <vt:lpstr>'Cronograma Físico-Financeiro'!Titulos_de_impressao</vt:lpstr>
      <vt:lpstr>M.CALCULO!Titulos_de_impressao</vt:lpstr>
      <vt:lpstr>'PLANILHA ORÇAMENTARIA'!Titulos_de_impressao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CEGEF</dc:creator>
  <cp:lastModifiedBy>Construmais</cp:lastModifiedBy>
  <cp:lastPrinted>2014-11-25T00:20:27Z</cp:lastPrinted>
  <dcterms:created xsi:type="dcterms:W3CDTF">2009-07-13T17:57:51Z</dcterms:created>
  <dcterms:modified xsi:type="dcterms:W3CDTF">2015-04-08T17:00:20Z</dcterms:modified>
</cp:coreProperties>
</file>